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1b1ec7a109c1ae8f/Mestrado/9.0 - Dissertação/Experimento/"/>
    </mc:Choice>
  </mc:AlternateContent>
  <xr:revisionPtr revIDLastSave="66" documentId="11_F86AE3A77B199B147FEB8E0514E85A744D23EECB" xr6:coauthVersionLast="45" xr6:coauthVersionMax="45" xr10:uidLastSave="{FA872176-0F59-4E41-9D79-DD8BFDDB5369}"/>
  <bookViews>
    <workbookView xWindow="-120" yWindow="-120" windowWidth="20730" windowHeight="11760" tabRatio="782" activeTab="2" xr2:uid="{00000000-000D-0000-FFFF-FFFF00000000}"/>
  </bookViews>
  <sheets>
    <sheet name="Controle" sheetId="1" r:id="rId1"/>
    <sheet name="Def. Controle" sheetId="3" r:id="rId2"/>
    <sheet name="Experimental" sheetId="2" r:id="rId3"/>
    <sheet name="Def. Experimental" sheetId="4" r:id="rId4"/>
    <sheet name="Comp. Tempos" sheetId="5" r:id="rId5"/>
    <sheet name="Comp. Amplitude" sheetId="6" r:id="rId6"/>
    <sheet name="Comp. Desvio Padrão" sheetId="7" r:id="rId7"/>
    <sheet name="Falhas" sheetId="8" r:id="rId8"/>
  </sheets>
  <definedNames>
    <definedName name="_xlnm._FilterDatabase" localSheetId="1" hidden="1">'Def. Controle'!$A$2:$D$52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4" i="2" l="1"/>
  <c r="T54" i="1"/>
  <c r="C13" i="8" l="1"/>
  <c r="C11" i="8"/>
  <c r="C10" i="8"/>
  <c r="C9" i="8"/>
  <c r="C8" i="8"/>
  <c r="C7" i="8"/>
  <c r="C6" i="8"/>
  <c r="C5" i="8"/>
  <c r="C4" i="8"/>
  <c r="C12" i="8" s="1"/>
  <c r="G11" i="7"/>
  <c r="G10" i="7"/>
  <c r="G9" i="7"/>
  <c r="G8" i="7"/>
  <c r="G7" i="7"/>
  <c r="G6" i="7"/>
  <c r="G5" i="7"/>
  <c r="G4" i="7"/>
  <c r="E11" i="7"/>
  <c r="E10" i="7"/>
  <c r="E9" i="7"/>
  <c r="E8" i="7"/>
  <c r="E7" i="7"/>
  <c r="E6" i="7"/>
  <c r="E5" i="7"/>
  <c r="E4" i="7"/>
  <c r="C11" i="7"/>
  <c r="C10" i="7"/>
  <c r="C9" i="7"/>
  <c r="C8" i="7"/>
  <c r="C7" i="7"/>
  <c r="C6" i="7"/>
  <c r="C5" i="7"/>
  <c r="C4" i="7"/>
  <c r="L5" i="7"/>
  <c r="M4" i="7" s="1"/>
  <c r="G11" i="6"/>
  <c r="G10" i="6"/>
  <c r="G9" i="6"/>
  <c r="G8" i="6"/>
  <c r="G7" i="6"/>
  <c r="G6" i="6"/>
  <c r="G5" i="6"/>
  <c r="G4" i="6"/>
  <c r="E11" i="6"/>
  <c r="E10" i="6"/>
  <c r="E9" i="6"/>
  <c r="E8" i="6"/>
  <c r="E7" i="6"/>
  <c r="E6" i="6"/>
  <c r="E5" i="6"/>
  <c r="E4" i="6"/>
  <c r="C11" i="6"/>
  <c r="C10" i="6"/>
  <c r="C9" i="6"/>
  <c r="C8" i="6"/>
  <c r="C7" i="6"/>
  <c r="C6" i="6"/>
  <c r="C5" i="6"/>
  <c r="C4" i="6"/>
  <c r="L5" i="6"/>
  <c r="M3" i="6" s="1"/>
  <c r="M5" i="5"/>
  <c r="L5" i="5"/>
  <c r="M4" i="5" s="1"/>
  <c r="G11" i="5"/>
  <c r="E11" i="5"/>
  <c r="C11" i="5"/>
  <c r="G10" i="5"/>
  <c r="E10" i="5"/>
  <c r="C10" i="5"/>
  <c r="G9" i="5"/>
  <c r="E9" i="5"/>
  <c r="C9" i="5"/>
  <c r="G8" i="5"/>
  <c r="E8" i="5"/>
  <c r="C8" i="5"/>
  <c r="G7" i="5"/>
  <c r="E7" i="5"/>
  <c r="C7" i="5"/>
  <c r="G6" i="5"/>
  <c r="E6" i="5"/>
  <c r="C6" i="5"/>
  <c r="G5" i="5"/>
  <c r="E5" i="5"/>
  <c r="C5" i="5"/>
  <c r="G4" i="5"/>
  <c r="E4" i="5"/>
  <c r="C4" i="5"/>
  <c r="M3" i="7" l="1"/>
  <c r="M5" i="7" s="1"/>
  <c r="M4" i="6"/>
  <c r="M5" i="6" s="1"/>
  <c r="M3" i="5"/>
  <c r="X52" i="1"/>
  <c r="X51" i="1"/>
  <c r="X49" i="2"/>
  <c r="X52" i="2" s="1"/>
  <c r="I14" i="4"/>
  <c r="H8" i="4"/>
  <c r="H9" i="4"/>
  <c r="H10" i="4"/>
  <c r="C43" i="4"/>
  <c r="H18" i="3"/>
  <c r="H5" i="4"/>
  <c r="H11" i="4" s="1"/>
  <c r="I13" i="4" s="1"/>
  <c r="I12" i="4"/>
  <c r="H7" i="4"/>
  <c r="H6" i="4"/>
  <c r="F49" i="2"/>
  <c r="F49" i="1"/>
  <c r="X51" i="2" l="1"/>
  <c r="P56" i="2"/>
  <c r="N54" i="2"/>
  <c r="N56" i="2" s="1"/>
  <c r="P55" i="1"/>
  <c r="N55" i="1"/>
  <c r="N53" i="1"/>
  <c r="AE45" i="2" l="1"/>
  <c r="AD45" i="2"/>
  <c r="AE48" i="1"/>
  <c r="S50" i="1"/>
  <c r="X49" i="1"/>
  <c r="L50" i="2"/>
  <c r="M50" i="2"/>
  <c r="W38" i="2" l="1"/>
  <c r="V38" i="2"/>
  <c r="U38" i="2"/>
  <c r="T38" i="2"/>
  <c r="S38" i="2"/>
  <c r="T37" i="2"/>
  <c r="S37" i="2"/>
  <c r="W36" i="2"/>
  <c r="T36" i="2"/>
  <c r="S36" i="2"/>
  <c r="V35" i="2"/>
  <c r="U35" i="2"/>
  <c r="O38" i="2"/>
  <c r="N38" i="2"/>
  <c r="L38" i="2"/>
  <c r="K38" i="2"/>
  <c r="O37" i="2"/>
  <c r="N37" i="2"/>
  <c r="L37" i="2"/>
  <c r="K37" i="2"/>
  <c r="N36" i="2"/>
  <c r="M36" i="2"/>
  <c r="K36" i="2"/>
  <c r="O35" i="2"/>
  <c r="N35" i="2"/>
  <c r="M35" i="2"/>
  <c r="L35" i="2"/>
  <c r="D36" i="2"/>
  <c r="E36" i="2"/>
  <c r="F36" i="2"/>
  <c r="G36" i="2"/>
  <c r="D37" i="2"/>
  <c r="E37" i="2"/>
  <c r="F37" i="2"/>
  <c r="G37" i="2"/>
  <c r="C38" i="2"/>
  <c r="D38" i="2"/>
  <c r="E38" i="2"/>
  <c r="F38" i="2"/>
  <c r="G38" i="2"/>
  <c r="G35" i="2"/>
  <c r="D35" i="2"/>
  <c r="E35" i="2"/>
  <c r="F35" i="2"/>
  <c r="C35" i="2"/>
  <c r="T33" i="2"/>
  <c r="S33" i="2"/>
  <c r="V32" i="2"/>
  <c r="S32" i="2"/>
  <c r="W31" i="2"/>
  <c r="V31" i="2"/>
  <c r="U31" i="2"/>
  <c r="W30" i="2"/>
  <c r="V30" i="2"/>
  <c r="U30" i="2"/>
  <c r="T30" i="2"/>
  <c r="S30" i="2"/>
  <c r="O33" i="2"/>
  <c r="L33" i="2"/>
  <c r="K33" i="2"/>
  <c r="O32" i="2"/>
  <c r="M32" i="2"/>
  <c r="N31" i="2"/>
  <c r="K31" i="2"/>
  <c r="O30" i="2"/>
  <c r="N30" i="2"/>
  <c r="M30" i="2"/>
  <c r="L30" i="2"/>
  <c r="K30" i="2"/>
  <c r="D31" i="2"/>
  <c r="E31" i="2"/>
  <c r="G31" i="2"/>
  <c r="D32" i="2"/>
  <c r="E32" i="2"/>
  <c r="F32" i="2"/>
  <c r="G32" i="2"/>
  <c r="C33" i="2"/>
  <c r="D33" i="2"/>
  <c r="E33" i="2"/>
  <c r="F33" i="2"/>
  <c r="G33" i="2"/>
  <c r="D30" i="2"/>
  <c r="G30" i="2"/>
  <c r="C30" i="2"/>
  <c r="T28" i="2"/>
  <c r="T27" i="2"/>
  <c r="W26" i="2"/>
  <c r="V26" i="2"/>
  <c r="U26" i="2"/>
  <c r="W25" i="2"/>
  <c r="N28" i="2"/>
  <c r="O27" i="2"/>
  <c r="M27" i="2"/>
  <c r="O26" i="2"/>
  <c r="N26" i="2"/>
  <c r="L26" i="2"/>
  <c r="K26" i="2"/>
  <c r="N25" i="2"/>
  <c r="L25" i="2"/>
  <c r="K25" i="2"/>
  <c r="D26" i="2"/>
  <c r="F26" i="2"/>
  <c r="D27" i="2"/>
  <c r="E27" i="2"/>
  <c r="D28" i="2"/>
  <c r="C28" i="2"/>
  <c r="D25" i="2"/>
  <c r="E25" i="2"/>
  <c r="F25" i="2"/>
  <c r="G25" i="2"/>
  <c r="S29" i="2" l="1"/>
  <c r="U23" i="2"/>
  <c r="T23" i="2"/>
  <c r="S23" i="2"/>
  <c r="X22" i="2"/>
  <c r="Z22" i="2" s="1"/>
  <c r="V21" i="2"/>
  <c r="U21" i="2"/>
  <c r="W24" i="2"/>
  <c r="V20" i="2"/>
  <c r="L23" i="2"/>
  <c r="O22" i="2"/>
  <c r="N22" i="2"/>
  <c r="M22" i="2"/>
  <c r="L22" i="2"/>
  <c r="K22" i="2"/>
  <c r="P21" i="2"/>
  <c r="R21" i="2" s="1"/>
  <c r="G23" i="2"/>
  <c r="F23" i="2"/>
  <c r="E23" i="2"/>
  <c r="D23" i="2"/>
  <c r="G22" i="2"/>
  <c r="F22" i="2"/>
  <c r="E22" i="2"/>
  <c r="D22" i="2"/>
  <c r="G21" i="2"/>
  <c r="F21" i="2"/>
  <c r="D21" i="2"/>
  <c r="G20" i="2"/>
  <c r="D20" i="2"/>
  <c r="V18" i="2"/>
  <c r="U18" i="2"/>
  <c r="U19" i="2" s="1"/>
  <c r="S18" i="2"/>
  <c r="W17" i="2"/>
  <c r="W19" i="2" s="1"/>
  <c r="V16" i="2"/>
  <c r="V19" i="2" s="1"/>
  <c r="X15" i="2"/>
  <c r="N18" i="2"/>
  <c r="M18" i="2"/>
  <c r="N17" i="2"/>
  <c r="L17" i="2"/>
  <c r="K19" i="2"/>
  <c r="O16" i="2"/>
  <c r="O19" i="2" s="1"/>
  <c r="N16" i="2"/>
  <c r="L19" i="2"/>
  <c r="D16" i="2"/>
  <c r="D17" i="2"/>
  <c r="E17" i="2"/>
  <c r="C18" i="2"/>
  <c r="D18" i="2"/>
  <c r="G18" i="2"/>
  <c r="D15" i="2"/>
  <c r="G15" i="2"/>
  <c r="V14" i="2"/>
  <c r="X13" i="2"/>
  <c r="Z13" i="2" s="1"/>
  <c r="Y7" i="2"/>
  <c r="Y8" i="2"/>
  <c r="I7" i="2"/>
  <c r="I8" i="2"/>
  <c r="Y17" i="2"/>
  <c r="T19" i="2"/>
  <c r="T44" i="2"/>
  <c r="Y42" i="2"/>
  <c r="Y41" i="2"/>
  <c r="W44" i="2"/>
  <c r="S44" i="2"/>
  <c r="P43" i="2"/>
  <c r="R43" i="2" s="1"/>
  <c r="M44" i="2"/>
  <c r="P41" i="2"/>
  <c r="R41" i="2" s="1"/>
  <c r="Q41" i="2"/>
  <c r="O44" i="2"/>
  <c r="L44" i="2"/>
  <c r="Y38" i="2"/>
  <c r="U39" i="2"/>
  <c r="X36" i="2"/>
  <c r="Z36" i="2" s="1"/>
  <c r="W39" i="2"/>
  <c r="S39" i="2"/>
  <c r="P38" i="2"/>
  <c r="R38" i="2" s="1"/>
  <c r="Q37" i="2"/>
  <c r="N39" i="2"/>
  <c r="Q36" i="2"/>
  <c r="O39" i="2"/>
  <c r="L39" i="2"/>
  <c r="G39" i="2"/>
  <c r="I38" i="2"/>
  <c r="Y33" i="2"/>
  <c r="X32" i="2"/>
  <c r="Z32" i="2" s="1"/>
  <c r="V34" i="2"/>
  <c r="W34" i="2"/>
  <c r="T34" i="2"/>
  <c r="Y30" i="2"/>
  <c r="Q33" i="2"/>
  <c r="M34" i="2"/>
  <c r="Q31" i="2"/>
  <c r="O34" i="2"/>
  <c r="Q30" i="2"/>
  <c r="F34" i="2"/>
  <c r="I33" i="2"/>
  <c r="G34" i="2"/>
  <c r="T29" i="2"/>
  <c r="U29" i="2"/>
  <c r="V29" i="2"/>
  <c r="Q28" i="2"/>
  <c r="Q27" i="2"/>
  <c r="O29" i="2"/>
  <c r="N29" i="2"/>
  <c r="K29" i="2"/>
  <c r="H28" i="2"/>
  <c r="J28" i="2" s="1"/>
  <c r="O24" i="2"/>
  <c r="H17" i="1"/>
  <c r="Y13" i="2"/>
  <c r="U14" i="2"/>
  <c r="T14" i="2"/>
  <c r="P6" i="1"/>
  <c r="P5" i="1"/>
  <c r="P8" i="2"/>
  <c r="R8" i="2" s="1"/>
  <c r="AC51" i="2"/>
  <c r="AD49" i="2" s="1"/>
  <c r="K50" i="2"/>
  <c r="F57" i="2"/>
  <c r="AD48" i="2"/>
  <c r="AE50" i="2"/>
  <c r="T50" i="2"/>
  <c r="S50" i="2"/>
  <c r="O50" i="2"/>
  <c r="N50" i="2"/>
  <c r="AE49" i="2"/>
  <c r="AE48" i="2"/>
  <c r="AC44" i="2"/>
  <c r="D11" i="8" s="1"/>
  <c r="U44" i="2"/>
  <c r="N44" i="2"/>
  <c r="Q43" i="2"/>
  <c r="AC39" i="2"/>
  <c r="D10" i="8" s="1"/>
  <c r="T39" i="2"/>
  <c r="M39" i="2"/>
  <c r="F39" i="2"/>
  <c r="E39" i="2"/>
  <c r="D39" i="2"/>
  <c r="Q38" i="2"/>
  <c r="X37" i="2"/>
  <c r="Z37" i="2" s="1"/>
  <c r="Y36" i="2"/>
  <c r="AC34" i="2"/>
  <c r="D9" i="8" s="1"/>
  <c r="U34" i="2"/>
  <c r="N34" i="2"/>
  <c r="E34" i="2"/>
  <c r="D34" i="2"/>
  <c r="Y32" i="2"/>
  <c r="X31" i="2"/>
  <c r="Z31" i="2" s="1"/>
  <c r="P31" i="2"/>
  <c r="R31" i="2" s="1"/>
  <c r="AC29" i="2"/>
  <c r="D8" i="8" s="1"/>
  <c r="W29" i="2"/>
  <c r="L29" i="2"/>
  <c r="G29" i="2"/>
  <c r="F29" i="2"/>
  <c r="E29" i="2"/>
  <c r="D29" i="2"/>
  <c r="X28" i="2"/>
  <c r="Z28" i="2" s="1"/>
  <c r="Y26" i="2"/>
  <c r="AC24" i="2"/>
  <c r="D7" i="8" s="1"/>
  <c r="AC19" i="2"/>
  <c r="D6" i="8" s="1"/>
  <c r="E19" i="2"/>
  <c r="AC14" i="2"/>
  <c r="D5" i="8" s="1"/>
  <c r="AC9" i="2"/>
  <c r="D4" i="8" s="1"/>
  <c r="H7" i="1"/>
  <c r="H8" i="1"/>
  <c r="AC9" i="1"/>
  <c r="AC51" i="1"/>
  <c r="AD48" i="1" s="1"/>
  <c r="D12" i="8" l="1"/>
  <c r="D13" i="8" s="1"/>
  <c r="L24" i="2"/>
  <c r="V24" i="2"/>
  <c r="P18" i="2"/>
  <c r="R18" i="2" s="1"/>
  <c r="M19" i="2"/>
  <c r="Y23" i="2"/>
  <c r="P22" i="2"/>
  <c r="R22" i="2" s="1"/>
  <c r="I18" i="2"/>
  <c r="G24" i="2"/>
  <c r="D24" i="2"/>
  <c r="X23" i="2"/>
  <c r="Z23" i="2" s="1"/>
  <c r="AC45" i="2"/>
  <c r="AC47" i="2" s="1"/>
  <c r="Y25" i="2"/>
  <c r="T24" i="2"/>
  <c r="Q22" i="2"/>
  <c r="Y15" i="2"/>
  <c r="X16" i="2"/>
  <c r="Z16" i="2" s="1"/>
  <c r="Y16" i="2"/>
  <c r="P17" i="2"/>
  <c r="R17" i="2" s="1"/>
  <c r="Q18" i="2"/>
  <c r="AA18" i="2"/>
  <c r="X7" i="2"/>
  <c r="Z7" i="2" s="1"/>
  <c r="X8" i="2"/>
  <c r="Z8" i="2" s="1"/>
  <c r="G19" i="2"/>
  <c r="F19" i="2"/>
  <c r="H7" i="2"/>
  <c r="J7" i="2" s="1"/>
  <c r="H8" i="2"/>
  <c r="J8" i="2" s="1"/>
  <c r="X18" i="2"/>
  <c r="Z18" i="2" s="1"/>
  <c r="X17" i="2"/>
  <c r="Z17" i="2" s="1"/>
  <c r="Y18" i="2"/>
  <c r="S19" i="2"/>
  <c r="P16" i="2"/>
  <c r="R16" i="2" s="1"/>
  <c r="Q16" i="2"/>
  <c r="Q17" i="2"/>
  <c r="P15" i="2"/>
  <c r="N19" i="2"/>
  <c r="Q15" i="2"/>
  <c r="Y40" i="2"/>
  <c r="X42" i="2"/>
  <c r="Z42" i="2" s="1"/>
  <c r="X43" i="2"/>
  <c r="Z43" i="2" s="1"/>
  <c r="V44" i="2"/>
  <c r="X40" i="2"/>
  <c r="X41" i="2"/>
  <c r="Z41" i="2" s="1"/>
  <c r="Y43" i="2"/>
  <c r="P40" i="2"/>
  <c r="R40" i="2" s="1"/>
  <c r="Q40" i="2"/>
  <c r="X35" i="2"/>
  <c r="Z35" i="2" s="1"/>
  <c r="Y37" i="2"/>
  <c r="X38" i="2"/>
  <c r="Z38" i="2" s="1"/>
  <c r="Y35" i="2"/>
  <c r="V39" i="2"/>
  <c r="P35" i="2"/>
  <c r="R35" i="2" s="1"/>
  <c r="P37" i="2"/>
  <c r="R37" i="2" s="1"/>
  <c r="Q35" i="2"/>
  <c r="Q39" i="2" s="1"/>
  <c r="F10" i="6" s="1"/>
  <c r="P36" i="2"/>
  <c r="R36" i="2" s="1"/>
  <c r="K39" i="2"/>
  <c r="AA38" i="2"/>
  <c r="H38" i="2"/>
  <c r="J38" i="2" s="1"/>
  <c r="AA30" i="2"/>
  <c r="Y31" i="2"/>
  <c r="Y34" i="2" s="1"/>
  <c r="H9" i="6" s="1"/>
  <c r="X33" i="2"/>
  <c r="Z33" i="2" s="1"/>
  <c r="X30" i="2"/>
  <c r="S34" i="2"/>
  <c r="P30" i="2"/>
  <c r="R30" i="2" s="1"/>
  <c r="K34" i="2"/>
  <c r="P32" i="2"/>
  <c r="R32" i="2" s="1"/>
  <c r="P33" i="2"/>
  <c r="R33" i="2" s="1"/>
  <c r="AA33" i="2"/>
  <c r="L34" i="2"/>
  <c r="Q32" i="2"/>
  <c r="Q34" i="2" s="1"/>
  <c r="F9" i="6" s="1"/>
  <c r="H30" i="2"/>
  <c r="J30" i="2" s="1"/>
  <c r="H33" i="2"/>
  <c r="J33" i="2" s="1"/>
  <c r="I30" i="2"/>
  <c r="X25" i="2"/>
  <c r="Z25" i="2" s="1"/>
  <c r="X27" i="2"/>
  <c r="Z27" i="2" s="1"/>
  <c r="Y28" i="2"/>
  <c r="Y27" i="2"/>
  <c r="X26" i="2"/>
  <c r="Z26" i="2" s="1"/>
  <c r="P25" i="2"/>
  <c r="R25" i="2" s="1"/>
  <c r="P27" i="2"/>
  <c r="R27" i="2" s="1"/>
  <c r="Q25" i="2"/>
  <c r="P28" i="2"/>
  <c r="R28" i="2" s="1"/>
  <c r="I28" i="2"/>
  <c r="AA28" i="2"/>
  <c r="X21" i="2"/>
  <c r="Z21" i="2" s="1"/>
  <c r="Y22" i="2"/>
  <c r="U24" i="2"/>
  <c r="Y21" i="2"/>
  <c r="Q21" i="2"/>
  <c r="P23" i="2"/>
  <c r="R23" i="2" s="1"/>
  <c r="Q23" i="2"/>
  <c r="H18" i="2"/>
  <c r="J18" i="2" s="1"/>
  <c r="D19" i="2"/>
  <c r="X12" i="2"/>
  <c r="Z12" i="2" s="1"/>
  <c r="Y12" i="2"/>
  <c r="H35" i="2"/>
  <c r="AA35" i="2"/>
  <c r="I35" i="2"/>
  <c r="E9" i="2"/>
  <c r="D9" i="2"/>
  <c r="N9" i="2"/>
  <c r="F9" i="2"/>
  <c r="U9" i="2"/>
  <c r="L9" i="2"/>
  <c r="T9" i="2"/>
  <c r="W9" i="2"/>
  <c r="Q8" i="2"/>
  <c r="AA8" i="2"/>
  <c r="G9" i="2"/>
  <c r="X6" i="2"/>
  <c r="Z6" i="2" s="1"/>
  <c r="Y6" i="2"/>
  <c r="V9" i="2"/>
  <c r="K9" i="2"/>
  <c r="AF45" i="2"/>
  <c r="AD50" i="2"/>
  <c r="I5" i="2"/>
  <c r="C9" i="2"/>
  <c r="Z15" i="2"/>
  <c r="H5" i="2"/>
  <c r="AE45" i="1"/>
  <c r="AD45" i="1"/>
  <c r="T50" i="1"/>
  <c r="O50" i="1"/>
  <c r="N50" i="1"/>
  <c r="L50" i="1"/>
  <c r="K50" i="1"/>
  <c r="AE50" i="1"/>
  <c r="AE49" i="1"/>
  <c r="AD50" i="1"/>
  <c r="AC44" i="1"/>
  <c r="AC39" i="1"/>
  <c r="AC34" i="1"/>
  <c r="AC29" i="1"/>
  <c r="AC24" i="1"/>
  <c r="AC19" i="1"/>
  <c r="AC14" i="1"/>
  <c r="F57" i="1"/>
  <c r="AF45" i="1" l="1"/>
  <c r="AC45" i="1"/>
  <c r="AC47" i="1" s="1"/>
  <c r="X44" i="2"/>
  <c r="H11" i="5" s="1"/>
  <c r="Y44" i="2"/>
  <c r="H11" i="6" s="1"/>
  <c r="R39" i="2"/>
  <c r="F10" i="7" s="1"/>
  <c r="Z39" i="2"/>
  <c r="H10" i="7" s="1"/>
  <c r="Y39" i="2"/>
  <c r="H10" i="6" s="1"/>
  <c r="R34" i="2"/>
  <c r="F9" i="7" s="1"/>
  <c r="P19" i="2"/>
  <c r="F6" i="5" s="1"/>
  <c r="Y19" i="2"/>
  <c r="H6" i="6" s="1"/>
  <c r="Z19" i="2"/>
  <c r="H6" i="7" s="1"/>
  <c r="R15" i="2"/>
  <c r="R19" i="2" s="1"/>
  <c r="F6" i="7" s="1"/>
  <c r="X29" i="2"/>
  <c r="H8" i="5" s="1"/>
  <c r="X19" i="2"/>
  <c r="H6" i="5" s="1"/>
  <c r="Q19" i="2"/>
  <c r="F6" i="6" s="1"/>
  <c r="Z40" i="2"/>
  <c r="Z44" i="2" s="1"/>
  <c r="H11" i="7" s="1"/>
  <c r="X39" i="2"/>
  <c r="H10" i="5" s="1"/>
  <c r="P39" i="2"/>
  <c r="F10" i="5" s="1"/>
  <c r="X34" i="2"/>
  <c r="H9" i="5" s="1"/>
  <c r="Z30" i="2"/>
  <c r="Z34" i="2" s="1"/>
  <c r="H9" i="7" s="1"/>
  <c r="P34" i="2"/>
  <c r="F9" i="5" s="1"/>
  <c r="Y29" i="2"/>
  <c r="H8" i="6" s="1"/>
  <c r="Z29" i="2"/>
  <c r="H8" i="7" s="1"/>
  <c r="J35" i="2"/>
  <c r="I6" i="2"/>
  <c r="H6" i="2"/>
  <c r="J6" i="2" s="1"/>
  <c r="S9" i="2"/>
  <c r="Y5" i="2"/>
  <c r="P5" i="2"/>
  <c r="Q5" i="2"/>
  <c r="AA5" i="2"/>
  <c r="X5" i="2"/>
  <c r="J5" i="2"/>
  <c r="AD49" i="1"/>
  <c r="G14" i="3"/>
  <c r="G13" i="3"/>
  <c r="G12" i="3"/>
  <c r="G11" i="3"/>
  <c r="G10" i="3"/>
  <c r="G9" i="3"/>
  <c r="G8" i="3"/>
  <c r="G7" i="3"/>
  <c r="G6" i="3"/>
  <c r="G5" i="3"/>
  <c r="G4" i="3"/>
  <c r="B52" i="3"/>
  <c r="L9" i="1"/>
  <c r="K9" i="1"/>
  <c r="H16" i="3"/>
  <c r="Q36" i="1"/>
  <c r="Y38" i="1"/>
  <c r="Q38" i="1"/>
  <c r="I38" i="1"/>
  <c r="Y37" i="1"/>
  <c r="Q37" i="1"/>
  <c r="I37" i="1"/>
  <c r="Y36" i="1"/>
  <c r="I36" i="1"/>
  <c r="Y35" i="1"/>
  <c r="Q35" i="1"/>
  <c r="I35" i="1"/>
  <c r="Y33" i="1"/>
  <c r="I32" i="1"/>
  <c r="Q32" i="1"/>
  <c r="Y32" i="1"/>
  <c r="I33" i="1"/>
  <c r="Q33" i="1"/>
  <c r="J9" i="2" l="1"/>
  <c r="D4" i="7" s="1"/>
  <c r="Y9" i="2"/>
  <c r="H4" i="6" s="1"/>
  <c r="I9" i="2"/>
  <c r="D4" i="6" s="1"/>
  <c r="H9" i="2"/>
  <c r="D4" i="5" s="1"/>
  <c r="Z5" i="2"/>
  <c r="Z9" i="2" s="1"/>
  <c r="H4" i="7" s="1"/>
  <c r="X9" i="2"/>
  <c r="H4" i="5" s="1"/>
  <c r="R5" i="2"/>
  <c r="G15" i="3"/>
  <c r="I39" i="1"/>
  <c r="Q39" i="1"/>
  <c r="Y39" i="1"/>
  <c r="H32" i="1"/>
  <c r="J32" i="1" s="1"/>
  <c r="R5" i="1"/>
  <c r="Y43" i="1"/>
  <c r="Q43" i="1"/>
  <c r="I43" i="1"/>
  <c r="Y42" i="1"/>
  <c r="Q42" i="1"/>
  <c r="Y41" i="1"/>
  <c r="Q41" i="1"/>
  <c r="Y40" i="1"/>
  <c r="Q40" i="1"/>
  <c r="I40" i="1"/>
  <c r="Y31" i="1"/>
  <c r="Q31" i="1"/>
  <c r="Y30" i="1"/>
  <c r="Q30" i="1"/>
  <c r="I30" i="1"/>
  <c r="Y28" i="1"/>
  <c r="Q28" i="1"/>
  <c r="I28" i="1"/>
  <c r="Y27" i="1"/>
  <c r="Q27" i="1"/>
  <c r="Y26" i="1"/>
  <c r="Y25" i="1"/>
  <c r="Q25" i="1"/>
  <c r="Y22" i="1"/>
  <c r="Q23" i="1"/>
  <c r="Y23" i="1"/>
  <c r="I23" i="1"/>
  <c r="Q22" i="1"/>
  <c r="I22" i="1"/>
  <c r="Y21" i="1"/>
  <c r="Q21" i="1"/>
  <c r="Y20" i="1"/>
  <c r="Q20" i="1"/>
  <c r="I16" i="1"/>
  <c r="Q16" i="1"/>
  <c r="Y16" i="1"/>
  <c r="I17" i="1"/>
  <c r="Q17" i="1"/>
  <c r="Y17" i="1"/>
  <c r="I18" i="1"/>
  <c r="Q18" i="1"/>
  <c r="Y18" i="1"/>
  <c r="Y15" i="1"/>
  <c r="Q15" i="1"/>
  <c r="I15" i="1"/>
  <c r="Q13" i="1"/>
  <c r="Q11" i="1"/>
  <c r="Q12" i="1"/>
  <c r="Y12" i="1"/>
  <c r="Y13" i="1"/>
  <c r="Y8" i="1"/>
  <c r="Y6" i="1"/>
  <c r="Y7" i="1"/>
  <c r="Q8" i="1"/>
  <c r="Q6" i="1"/>
  <c r="Q7" i="1"/>
  <c r="I8" i="1"/>
  <c r="I7" i="1"/>
  <c r="Y5" i="1"/>
  <c r="Q5" i="1"/>
  <c r="Q9" i="1" l="1"/>
  <c r="I19" i="1"/>
  <c r="Q34" i="1"/>
  <c r="Y9" i="1"/>
  <c r="H17" i="3"/>
  <c r="H8" i="3"/>
  <c r="H12" i="3"/>
  <c r="H5" i="3"/>
  <c r="H6" i="3"/>
  <c r="H10" i="3"/>
  <c r="H14" i="3"/>
  <c r="H7" i="3"/>
  <c r="H11" i="3"/>
  <c r="H9" i="3"/>
  <c r="H13" i="3"/>
  <c r="H4" i="3"/>
  <c r="Y29" i="1"/>
  <c r="Q24" i="1"/>
  <c r="Y34" i="1"/>
  <c r="Q44" i="1"/>
  <c r="Q19" i="1"/>
  <c r="Y24" i="1"/>
  <c r="Y44" i="1"/>
  <c r="Y19" i="1"/>
  <c r="S24" i="1"/>
  <c r="C21" i="1"/>
  <c r="H15" i="3" l="1"/>
  <c r="I21" i="1"/>
  <c r="C42" i="1"/>
  <c r="C41" i="1"/>
  <c r="C31" i="1"/>
  <c r="C27" i="1"/>
  <c r="C31" i="2" l="1"/>
  <c r="C27" i="2"/>
  <c r="C17" i="2"/>
  <c r="C36" i="2"/>
  <c r="C37" i="2"/>
  <c r="C32" i="2"/>
  <c r="C34" i="2"/>
  <c r="H31" i="2"/>
  <c r="J31" i="2" s="1"/>
  <c r="I31" i="2"/>
  <c r="AA31" i="2"/>
  <c r="I42" i="1"/>
  <c r="I27" i="1"/>
  <c r="I31" i="1"/>
  <c r="I34" i="1" s="1"/>
  <c r="I41" i="1"/>
  <c r="M26" i="1"/>
  <c r="C26" i="1"/>
  <c r="C26" i="2" s="1"/>
  <c r="C25" i="1"/>
  <c r="C13" i="1"/>
  <c r="I36" i="2" l="1"/>
  <c r="H36" i="2"/>
  <c r="C39" i="2"/>
  <c r="AA36" i="2"/>
  <c r="C25" i="2"/>
  <c r="AA25" i="1"/>
  <c r="H26" i="2"/>
  <c r="J26" i="2" s="1"/>
  <c r="I26" i="2"/>
  <c r="AA32" i="2"/>
  <c r="I32" i="2"/>
  <c r="I34" i="2" s="1"/>
  <c r="D9" i="6" s="1"/>
  <c r="H32" i="2"/>
  <c r="J32" i="2" s="1"/>
  <c r="J34" i="2" s="1"/>
  <c r="D9" i="7" s="1"/>
  <c r="H17" i="2"/>
  <c r="J17" i="2" s="1"/>
  <c r="I17" i="2"/>
  <c r="AA17" i="2"/>
  <c r="C23" i="2"/>
  <c r="Q26" i="1"/>
  <c r="Q29" i="1" s="1"/>
  <c r="M26" i="2"/>
  <c r="AA26" i="2" s="1"/>
  <c r="I37" i="2"/>
  <c r="H37" i="2"/>
  <c r="J37" i="2" s="1"/>
  <c r="AA37" i="2"/>
  <c r="AA27" i="2"/>
  <c r="I27" i="2"/>
  <c r="H27" i="2"/>
  <c r="J27" i="2" s="1"/>
  <c r="I13" i="1"/>
  <c r="I25" i="1"/>
  <c r="I44" i="1"/>
  <c r="I26" i="1"/>
  <c r="C12" i="1"/>
  <c r="C6" i="1"/>
  <c r="H34" i="2" l="1"/>
  <c r="AA23" i="2"/>
  <c r="I23" i="2"/>
  <c r="H23" i="2"/>
  <c r="J23" i="2" s="1"/>
  <c r="C22" i="2"/>
  <c r="J36" i="2"/>
  <c r="J39" i="2" s="1"/>
  <c r="D10" i="7" s="1"/>
  <c r="H39" i="2"/>
  <c r="C16" i="2"/>
  <c r="H6" i="1"/>
  <c r="Q26" i="2"/>
  <c r="Q29" i="2" s="1"/>
  <c r="F8" i="6" s="1"/>
  <c r="P26" i="2"/>
  <c r="M29" i="2"/>
  <c r="AA25" i="2"/>
  <c r="I25" i="2"/>
  <c r="I29" i="2" s="1"/>
  <c r="D8" i="6" s="1"/>
  <c r="C29" i="2"/>
  <c r="H25" i="2"/>
  <c r="H29" i="2" s="1"/>
  <c r="D8" i="5" s="1"/>
  <c r="I39" i="2"/>
  <c r="D10" i="6" s="1"/>
  <c r="I29" i="1"/>
  <c r="I12" i="1"/>
  <c r="I6" i="1"/>
  <c r="C5" i="1"/>
  <c r="AA39" i="2" l="1"/>
  <c r="D10" i="5"/>
  <c r="AA34" i="2"/>
  <c r="D9" i="5"/>
  <c r="J25" i="2"/>
  <c r="J29" i="2" s="1"/>
  <c r="D8" i="7" s="1"/>
  <c r="I16" i="2"/>
  <c r="H16" i="2"/>
  <c r="J16" i="2" s="1"/>
  <c r="AA16" i="2"/>
  <c r="I22" i="2"/>
  <c r="H22" i="2"/>
  <c r="J22" i="2" s="1"/>
  <c r="AA22" i="2"/>
  <c r="R26" i="2"/>
  <c r="R29" i="2" s="1"/>
  <c r="F8" i="7" s="1"/>
  <c r="P29" i="2"/>
  <c r="C15" i="2"/>
  <c r="H5" i="1"/>
  <c r="H9" i="1" s="1"/>
  <c r="AA5" i="1"/>
  <c r="I5" i="1"/>
  <c r="J5" i="1"/>
  <c r="E20" i="1"/>
  <c r="C20" i="1"/>
  <c r="S11" i="1"/>
  <c r="E11" i="1"/>
  <c r="C11" i="1"/>
  <c r="S10" i="1"/>
  <c r="O10" i="1"/>
  <c r="N10" i="1"/>
  <c r="M10" i="1"/>
  <c r="L10" i="1"/>
  <c r="K10" i="1"/>
  <c r="F10" i="1"/>
  <c r="E10" i="1"/>
  <c r="C10" i="1"/>
  <c r="AA29" i="2" l="1"/>
  <c r="F8" i="5"/>
  <c r="S20" i="2"/>
  <c r="E20" i="2"/>
  <c r="M20" i="2"/>
  <c r="M24" i="2" s="1"/>
  <c r="C21" i="2"/>
  <c r="C20" i="2"/>
  <c r="F20" i="2"/>
  <c r="F24" i="2" s="1"/>
  <c r="N20" i="2"/>
  <c r="N24" i="2" s="1"/>
  <c r="E21" i="2"/>
  <c r="H15" i="2"/>
  <c r="H19" i="2" s="1"/>
  <c r="AA15" i="2"/>
  <c r="C19" i="2"/>
  <c r="I15" i="2"/>
  <c r="I19" i="2" s="1"/>
  <c r="D6" i="6" s="1"/>
  <c r="K20" i="2"/>
  <c r="Y11" i="1"/>
  <c r="I11" i="1"/>
  <c r="I9" i="1"/>
  <c r="I10" i="1"/>
  <c r="Q10" i="1"/>
  <c r="Y10" i="1"/>
  <c r="I20" i="1"/>
  <c r="I24" i="1" s="1"/>
  <c r="X15" i="1"/>
  <c r="J15" i="2" l="1"/>
  <c r="J19" i="2" s="1"/>
  <c r="D6" i="7" s="1"/>
  <c r="AA19" i="2"/>
  <c r="D6" i="5"/>
  <c r="I14" i="1"/>
  <c r="P20" i="2"/>
  <c r="P24" i="2" s="1"/>
  <c r="F7" i="5" s="1"/>
  <c r="K24" i="2"/>
  <c r="Q20" i="2"/>
  <c r="Q24" i="2" s="1"/>
  <c r="F7" i="6" s="1"/>
  <c r="H21" i="2"/>
  <c r="J21" i="2" s="1"/>
  <c r="AA21" i="2"/>
  <c r="I21" i="2"/>
  <c r="E24" i="2"/>
  <c r="S24" i="2"/>
  <c r="X20" i="2"/>
  <c r="Y20" i="2"/>
  <c r="Y24" i="2" s="1"/>
  <c r="H7" i="6" s="1"/>
  <c r="I20" i="2"/>
  <c r="I24" i="2" s="1"/>
  <c r="D7" i="6" s="1"/>
  <c r="C24" i="2"/>
  <c r="AA20" i="2"/>
  <c r="H20" i="2"/>
  <c r="Z15" i="1"/>
  <c r="Y14" i="1"/>
  <c r="Y45" i="1"/>
  <c r="Q14" i="1"/>
  <c r="Q45" i="1"/>
  <c r="I45" i="1"/>
  <c r="W44" i="1"/>
  <c r="V44" i="1"/>
  <c r="U44" i="1"/>
  <c r="T44" i="1"/>
  <c r="S44" i="1"/>
  <c r="O44" i="1"/>
  <c r="N44" i="1"/>
  <c r="M44" i="1"/>
  <c r="L44" i="1"/>
  <c r="K44" i="1"/>
  <c r="G44" i="1"/>
  <c r="F44" i="1"/>
  <c r="E44" i="1"/>
  <c r="D44" i="1"/>
  <c r="C44" i="1"/>
  <c r="AA43" i="1"/>
  <c r="X43" i="1"/>
  <c r="Z43" i="1" s="1"/>
  <c r="P43" i="1"/>
  <c r="H43" i="1"/>
  <c r="AA42" i="1"/>
  <c r="X42" i="1"/>
  <c r="Z42" i="1" s="1"/>
  <c r="P42" i="1"/>
  <c r="H42" i="1"/>
  <c r="AA41" i="1"/>
  <c r="X41" i="1"/>
  <c r="P41" i="1"/>
  <c r="H41" i="1"/>
  <c r="AA40" i="1"/>
  <c r="X40" i="1"/>
  <c r="P40" i="1"/>
  <c r="H40" i="1"/>
  <c r="W39" i="1"/>
  <c r="V39" i="1"/>
  <c r="U39" i="1"/>
  <c r="T39" i="1"/>
  <c r="S39" i="1"/>
  <c r="O39" i="1"/>
  <c r="N39" i="1"/>
  <c r="M39" i="1"/>
  <c r="L39" i="1"/>
  <c r="K39" i="1"/>
  <c r="G39" i="1"/>
  <c r="F39" i="1"/>
  <c r="E39" i="1"/>
  <c r="D39" i="1"/>
  <c r="C39" i="1"/>
  <c r="AA38" i="1"/>
  <c r="X38" i="1"/>
  <c r="Z38" i="1" s="1"/>
  <c r="P38" i="1"/>
  <c r="R38" i="1" s="1"/>
  <c r="H38" i="1"/>
  <c r="J38" i="1" s="1"/>
  <c r="AA37" i="1"/>
  <c r="X37" i="1"/>
  <c r="Z37" i="1" s="1"/>
  <c r="P37" i="1"/>
  <c r="H37" i="1"/>
  <c r="J37" i="1" s="1"/>
  <c r="AA36" i="1"/>
  <c r="X36" i="1"/>
  <c r="Z36" i="1" s="1"/>
  <c r="P36" i="1"/>
  <c r="H36" i="1"/>
  <c r="J36" i="1" s="1"/>
  <c r="AA35" i="1"/>
  <c r="X35" i="1"/>
  <c r="P35" i="1"/>
  <c r="H35" i="1"/>
  <c r="W34" i="1"/>
  <c r="V34" i="1"/>
  <c r="U34" i="1"/>
  <c r="T34" i="1"/>
  <c r="S34" i="1"/>
  <c r="O34" i="1"/>
  <c r="N34" i="1"/>
  <c r="M34" i="1"/>
  <c r="L34" i="1"/>
  <c r="K34" i="1"/>
  <c r="G34" i="1"/>
  <c r="F34" i="1"/>
  <c r="E34" i="1"/>
  <c r="D34" i="1"/>
  <c r="C34" i="1"/>
  <c r="AA33" i="1"/>
  <c r="X33" i="1"/>
  <c r="Z33" i="1" s="1"/>
  <c r="P33" i="1"/>
  <c r="R33" i="1" s="1"/>
  <c r="H33" i="1"/>
  <c r="J33" i="1" s="1"/>
  <c r="AA32" i="1"/>
  <c r="X32" i="1"/>
  <c r="Z32" i="1" s="1"/>
  <c r="P32" i="1"/>
  <c r="R32" i="1" s="1"/>
  <c r="AA31" i="1"/>
  <c r="X31" i="1"/>
  <c r="Z31" i="1" s="1"/>
  <c r="P31" i="1"/>
  <c r="R31" i="1" s="1"/>
  <c r="H31" i="1"/>
  <c r="J31" i="1" s="1"/>
  <c r="AA30" i="1"/>
  <c r="X30" i="1"/>
  <c r="P30" i="1"/>
  <c r="H30" i="1"/>
  <c r="W29" i="1"/>
  <c r="V29" i="1"/>
  <c r="U29" i="1"/>
  <c r="T29" i="1"/>
  <c r="S29" i="1"/>
  <c r="O29" i="1"/>
  <c r="N29" i="1"/>
  <c r="M29" i="1"/>
  <c r="L29" i="1"/>
  <c r="K29" i="1"/>
  <c r="G29" i="1"/>
  <c r="F29" i="1"/>
  <c r="E29" i="1"/>
  <c r="D29" i="1"/>
  <c r="C29" i="1"/>
  <c r="AA28" i="1"/>
  <c r="X28" i="1"/>
  <c r="Z28" i="1" s="1"/>
  <c r="P28" i="1"/>
  <c r="R28" i="1" s="1"/>
  <c r="H28" i="1"/>
  <c r="J28" i="1" s="1"/>
  <c r="AA27" i="1"/>
  <c r="X27" i="1"/>
  <c r="Z27" i="1" s="1"/>
  <c r="P27" i="1"/>
  <c r="R27" i="1" s="1"/>
  <c r="H27" i="1"/>
  <c r="J27" i="1" s="1"/>
  <c r="AA26" i="1"/>
  <c r="X26" i="1"/>
  <c r="Z26" i="1" s="1"/>
  <c r="P26" i="1"/>
  <c r="R26" i="1" s="1"/>
  <c r="H26" i="1"/>
  <c r="J26" i="1" s="1"/>
  <c r="X25" i="1"/>
  <c r="P25" i="1"/>
  <c r="H25" i="1"/>
  <c r="W24" i="1"/>
  <c r="V24" i="1"/>
  <c r="U24" i="1"/>
  <c r="T24" i="1"/>
  <c r="O24" i="1"/>
  <c r="N24" i="1"/>
  <c r="M24" i="1"/>
  <c r="L24" i="1"/>
  <c r="K24" i="1"/>
  <c r="G24" i="1"/>
  <c r="F24" i="1"/>
  <c r="E24" i="1"/>
  <c r="D24" i="1"/>
  <c r="C24" i="1"/>
  <c r="AA23" i="1"/>
  <c r="X23" i="1"/>
  <c r="Z23" i="1" s="1"/>
  <c r="P23" i="1"/>
  <c r="R23" i="1" s="1"/>
  <c r="H23" i="1"/>
  <c r="J23" i="1" s="1"/>
  <c r="AA22" i="1"/>
  <c r="X22" i="1"/>
  <c r="Z22" i="1" s="1"/>
  <c r="P22" i="1"/>
  <c r="R22" i="1" s="1"/>
  <c r="H22" i="1"/>
  <c r="J22" i="1" s="1"/>
  <c r="AA21" i="1"/>
  <c r="X21" i="1"/>
  <c r="Z21" i="1" s="1"/>
  <c r="P21" i="1"/>
  <c r="R21" i="1" s="1"/>
  <c r="H21" i="1"/>
  <c r="J21" i="1" s="1"/>
  <c r="AA20" i="1"/>
  <c r="X20" i="1"/>
  <c r="P20" i="1"/>
  <c r="H20" i="1"/>
  <c r="U19" i="1"/>
  <c r="C19" i="1"/>
  <c r="W19" i="1"/>
  <c r="V19" i="1"/>
  <c r="T19" i="1"/>
  <c r="S19" i="1"/>
  <c r="O19" i="1"/>
  <c r="N19" i="1"/>
  <c r="M19" i="1"/>
  <c r="L19" i="1"/>
  <c r="K19" i="1"/>
  <c r="G19" i="1"/>
  <c r="F19" i="1"/>
  <c r="E19" i="1"/>
  <c r="D19" i="1"/>
  <c r="AA18" i="1"/>
  <c r="X18" i="1"/>
  <c r="Z18" i="1" s="1"/>
  <c r="P18" i="1"/>
  <c r="R18" i="1" s="1"/>
  <c r="H18" i="1"/>
  <c r="J18" i="1" s="1"/>
  <c r="AA17" i="1"/>
  <c r="X17" i="1"/>
  <c r="Z17" i="1" s="1"/>
  <c r="P17" i="1"/>
  <c r="R17" i="1" s="1"/>
  <c r="J17" i="1"/>
  <c r="AA16" i="1"/>
  <c r="X16" i="1"/>
  <c r="Z16" i="1" s="1"/>
  <c r="P16" i="1"/>
  <c r="R16" i="1" s="1"/>
  <c r="H16" i="1"/>
  <c r="J16" i="1" s="1"/>
  <c r="AA15" i="1"/>
  <c r="P15" i="1"/>
  <c r="H15" i="1"/>
  <c r="K14" i="1"/>
  <c r="W14" i="1"/>
  <c r="V14" i="1"/>
  <c r="U14" i="1"/>
  <c r="T14" i="1"/>
  <c r="S14" i="1"/>
  <c r="O14" i="1"/>
  <c r="N14" i="1"/>
  <c r="M14" i="1"/>
  <c r="L14" i="1"/>
  <c r="G14" i="1"/>
  <c r="F14" i="1"/>
  <c r="E14" i="1"/>
  <c r="D14" i="1"/>
  <c r="C14" i="1"/>
  <c r="S9" i="1"/>
  <c r="W9" i="1"/>
  <c r="V9" i="1"/>
  <c r="U9" i="1"/>
  <c r="T9" i="1"/>
  <c r="O9" i="1"/>
  <c r="N9" i="1"/>
  <c r="M9" i="1"/>
  <c r="D9" i="1"/>
  <c r="E9" i="1"/>
  <c r="F9" i="1"/>
  <c r="G9" i="1"/>
  <c r="C9" i="1"/>
  <c r="X6" i="1"/>
  <c r="Z6" i="1" s="1"/>
  <c r="AA6" i="1"/>
  <c r="X7" i="1"/>
  <c r="Z7" i="1" s="1"/>
  <c r="AA7" i="1"/>
  <c r="X8" i="1"/>
  <c r="Z8" i="1" s="1"/>
  <c r="AA8" i="1"/>
  <c r="X10" i="1"/>
  <c r="AA10" i="1"/>
  <c r="X11" i="1"/>
  <c r="Z11" i="1" s="1"/>
  <c r="AA11" i="1"/>
  <c r="X12" i="1"/>
  <c r="Z12" i="1" s="1"/>
  <c r="AA12" i="1"/>
  <c r="X13" i="1"/>
  <c r="Z13" i="1" s="1"/>
  <c r="AA13" i="1"/>
  <c r="R6" i="1"/>
  <c r="P7" i="1"/>
  <c r="P8" i="1"/>
  <c r="R8" i="1" s="1"/>
  <c r="P10" i="1"/>
  <c r="P11" i="1"/>
  <c r="R11" i="1" s="1"/>
  <c r="P12" i="1"/>
  <c r="R12" i="1" s="1"/>
  <c r="P13" i="1"/>
  <c r="R13" i="1" s="1"/>
  <c r="J6" i="1"/>
  <c r="J7" i="1"/>
  <c r="J8" i="1"/>
  <c r="H10" i="1"/>
  <c r="H11" i="1"/>
  <c r="J11" i="1" s="1"/>
  <c r="H12" i="1"/>
  <c r="J12" i="1" s="1"/>
  <c r="H13" i="1"/>
  <c r="J13" i="1" s="1"/>
  <c r="X5" i="1"/>
  <c r="H24" i="2" l="1"/>
  <c r="D7" i="5" s="1"/>
  <c r="R10" i="1"/>
  <c r="P14" i="1"/>
  <c r="J30" i="1"/>
  <c r="H34" i="1"/>
  <c r="Z35" i="1"/>
  <c r="Z39" i="1" s="1"/>
  <c r="X39" i="1"/>
  <c r="J20" i="2"/>
  <c r="J24" i="2" s="1"/>
  <c r="D7" i="7" s="1"/>
  <c r="R20" i="2"/>
  <c r="R24" i="2" s="1"/>
  <c r="F7" i="7" s="1"/>
  <c r="Z5" i="1"/>
  <c r="Z9" i="1" s="1"/>
  <c r="X9" i="1"/>
  <c r="R20" i="1"/>
  <c r="P24" i="1"/>
  <c r="R30" i="1"/>
  <c r="P34" i="1"/>
  <c r="J40" i="1"/>
  <c r="D40" i="2"/>
  <c r="C40" i="2"/>
  <c r="G40" i="2"/>
  <c r="E40" i="2"/>
  <c r="F40" i="2"/>
  <c r="G10" i="2"/>
  <c r="D10" i="2"/>
  <c r="E10" i="2"/>
  <c r="C10" i="2"/>
  <c r="F10" i="2"/>
  <c r="J41" i="1"/>
  <c r="F41" i="2"/>
  <c r="G41" i="2"/>
  <c r="D41" i="2"/>
  <c r="E41" i="2"/>
  <c r="F11" i="2"/>
  <c r="G11" i="2"/>
  <c r="D11" i="2"/>
  <c r="C41" i="2"/>
  <c r="C11" i="2"/>
  <c r="E11" i="2"/>
  <c r="E42" i="2"/>
  <c r="F42" i="2"/>
  <c r="G42" i="2"/>
  <c r="D42" i="2"/>
  <c r="F12" i="2"/>
  <c r="G12" i="2"/>
  <c r="D12" i="2"/>
  <c r="E12" i="2"/>
  <c r="C42" i="2"/>
  <c r="C12" i="2"/>
  <c r="J43" i="1"/>
  <c r="D43" i="2"/>
  <c r="E43" i="2"/>
  <c r="F43" i="2"/>
  <c r="C43" i="2"/>
  <c r="G43" i="2"/>
  <c r="F13" i="2"/>
  <c r="G13" i="2"/>
  <c r="D13" i="2"/>
  <c r="E13" i="2"/>
  <c r="C13" i="2"/>
  <c r="R7" i="1"/>
  <c r="P9" i="1"/>
  <c r="AA9" i="1" s="1"/>
  <c r="J15" i="1"/>
  <c r="H19" i="1"/>
  <c r="Z20" i="1"/>
  <c r="X24" i="1"/>
  <c r="J25" i="1"/>
  <c r="J29" i="1" s="1"/>
  <c r="H29" i="1"/>
  <c r="Z30" i="1"/>
  <c r="X34" i="1"/>
  <c r="J35" i="1"/>
  <c r="H39" i="1"/>
  <c r="R40" i="1"/>
  <c r="P44" i="1"/>
  <c r="L10" i="2"/>
  <c r="N10" i="2"/>
  <c r="M10" i="2"/>
  <c r="K10" i="2"/>
  <c r="R41" i="1"/>
  <c r="R42" i="1"/>
  <c r="K42" i="2"/>
  <c r="N12" i="2"/>
  <c r="M12" i="2"/>
  <c r="L12" i="2"/>
  <c r="O12" i="2"/>
  <c r="K12" i="2"/>
  <c r="R43" i="1"/>
  <c r="O13" i="2"/>
  <c r="X19" i="1"/>
  <c r="Z20" i="2"/>
  <c r="X24" i="2"/>
  <c r="Z10" i="1"/>
  <c r="X14" i="1"/>
  <c r="R15" i="1"/>
  <c r="R19" i="1" s="1"/>
  <c r="P19" i="1"/>
  <c r="R25" i="1"/>
  <c r="R29" i="1" s="1"/>
  <c r="P29" i="1"/>
  <c r="R35" i="1"/>
  <c r="P39" i="1"/>
  <c r="R36" i="1"/>
  <c r="R37" i="1"/>
  <c r="O7" i="2"/>
  <c r="Z40" i="1"/>
  <c r="Z44" i="1" s="1"/>
  <c r="X44" i="1"/>
  <c r="S10" i="2"/>
  <c r="Z41" i="1"/>
  <c r="W11" i="2"/>
  <c r="S11" i="2"/>
  <c r="Z25" i="1"/>
  <c r="Z29" i="1" s="1"/>
  <c r="X29" i="1"/>
  <c r="AA29" i="1" s="1"/>
  <c r="J42" i="1"/>
  <c r="J44" i="1" s="1"/>
  <c r="H44" i="1"/>
  <c r="J20" i="1"/>
  <c r="J24" i="1" s="1"/>
  <c r="H24" i="1"/>
  <c r="AA24" i="1" s="1"/>
  <c r="J10" i="1"/>
  <c r="J14" i="1" s="1"/>
  <c r="H14" i="1"/>
  <c r="Z19" i="1"/>
  <c r="R24" i="1"/>
  <c r="J39" i="1"/>
  <c r="Z24" i="1"/>
  <c r="Z34" i="1"/>
  <c r="J19" i="1"/>
  <c r="J34" i="1"/>
  <c r="R44" i="1"/>
  <c r="R9" i="1"/>
  <c r="Z14" i="1"/>
  <c r="R34" i="1"/>
  <c r="J9" i="1"/>
  <c r="R14" i="1"/>
  <c r="AA39" i="1"/>
  <c r="AA34" i="1"/>
  <c r="AA44" i="1"/>
  <c r="AA14" i="1"/>
  <c r="AA19" i="1"/>
  <c r="AA24" i="2" l="1"/>
  <c r="H7" i="5"/>
  <c r="M14" i="2"/>
  <c r="R45" i="1"/>
  <c r="P12" i="2"/>
  <c r="R12" i="2" s="1"/>
  <c r="S14" i="2"/>
  <c r="X10" i="2"/>
  <c r="Z10" i="2" s="1"/>
  <c r="Y10" i="2"/>
  <c r="Z24" i="2"/>
  <c r="H7" i="7" s="1"/>
  <c r="J45" i="1"/>
  <c r="R39" i="1"/>
  <c r="Y11" i="2"/>
  <c r="X11" i="2"/>
  <c r="Z11" i="2" s="1"/>
  <c r="M9" i="2"/>
  <c r="AA6" i="2"/>
  <c r="P6" i="2"/>
  <c r="Q6" i="2"/>
  <c r="O14" i="2"/>
  <c r="K44" i="2"/>
  <c r="P42" i="2"/>
  <c r="Q42" i="2"/>
  <c r="Q44" i="2" s="1"/>
  <c r="F11" i="6" s="1"/>
  <c r="Q10" i="2"/>
  <c r="P10" i="2"/>
  <c r="K14" i="2"/>
  <c r="H10" i="2"/>
  <c r="AA10" i="2"/>
  <c r="I10" i="2"/>
  <c r="C14" i="2"/>
  <c r="J10" i="2"/>
  <c r="F44" i="2"/>
  <c r="D44" i="2"/>
  <c r="Q13" i="2"/>
  <c r="P13" i="2"/>
  <c r="R13" i="2" s="1"/>
  <c r="H43" i="2"/>
  <c r="J43" i="2" s="1"/>
  <c r="I43" i="2"/>
  <c r="AA43" i="2"/>
  <c r="I11" i="2"/>
  <c r="H11" i="2"/>
  <c r="J11" i="2" s="1"/>
  <c r="AA11" i="2"/>
  <c r="E14" i="2"/>
  <c r="E44" i="2"/>
  <c r="P7" i="2"/>
  <c r="R7" i="2" s="1"/>
  <c r="AA7" i="2"/>
  <c r="Q7" i="2"/>
  <c r="O9" i="2"/>
  <c r="Q12" i="2"/>
  <c r="Q11" i="2"/>
  <c r="P11" i="2"/>
  <c r="R11" i="2" s="1"/>
  <c r="N14" i="2"/>
  <c r="H12" i="2"/>
  <c r="J12" i="2" s="1"/>
  <c r="I12" i="2"/>
  <c r="AA12" i="2"/>
  <c r="I41" i="2"/>
  <c r="AA41" i="2"/>
  <c r="H41" i="2"/>
  <c r="J41" i="2" s="1"/>
  <c r="D14" i="2"/>
  <c r="G44" i="2"/>
  <c r="L14" i="2"/>
  <c r="AA13" i="2"/>
  <c r="H13" i="2"/>
  <c r="J13" i="2" s="1"/>
  <c r="I13" i="2"/>
  <c r="H42" i="2"/>
  <c r="J42" i="2" s="1"/>
  <c r="AA42" i="2"/>
  <c r="I42" i="2"/>
  <c r="F14" i="2"/>
  <c r="G14" i="2"/>
  <c r="I40" i="2"/>
  <c r="AA40" i="2"/>
  <c r="H40" i="2"/>
  <c r="J40" i="2" s="1"/>
  <c r="C44" i="2"/>
  <c r="Z45" i="1"/>
  <c r="I5" i="4"/>
  <c r="I7" i="4"/>
  <c r="I8" i="4"/>
  <c r="I9" i="4"/>
  <c r="I6" i="4"/>
  <c r="I10" i="4"/>
  <c r="J44" i="2" l="1"/>
  <c r="D11" i="7" s="1"/>
  <c r="Z14" i="2"/>
  <c r="H5" i="7" s="1"/>
  <c r="Z45" i="2"/>
  <c r="I14" i="2"/>
  <c r="D5" i="6" s="1"/>
  <c r="I45" i="2"/>
  <c r="R10" i="2"/>
  <c r="R14" i="2" s="1"/>
  <c r="F5" i="7" s="1"/>
  <c r="P14" i="2"/>
  <c r="F5" i="5" s="1"/>
  <c r="I44" i="2"/>
  <c r="D11" i="6" s="1"/>
  <c r="Q14" i="2"/>
  <c r="F5" i="6" s="1"/>
  <c r="Y14" i="2"/>
  <c r="H5" i="6" s="1"/>
  <c r="Y45" i="2"/>
  <c r="J14" i="2"/>
  <c r="D5" i="7" s="1"/>
  <c r="H14" i="2"/>
  <c r="D5" i="5" s="1"/>
  <c r="Q45" i="2"/>
  <c r="Q9" i="2"/>
  <c r="F4" i="6" s="1"/>
  <c r="X14" i="2"/>
  <c r="H5" i="5" s="1"/>
  <c r="J45" i="2"/>
  <c r="H44" i="2"/>
  <c r="D11" i="5" s="1"/>
  <c r="R42" i="2"/>
  <c r="P44" i="2"/>
  <c r="R6" i="2"/>
  <c r="R9" i="2" s="1"/>
  <c r="F4" i="7" s="1"/>
  <c r="P9" i="2"/>
  <c r="I11" i="4"/>
  <c r="AA9" i="2" l="1"/>
  <c r="F4" i="5"/>
  <c r="F11" i="5"/>
  <c r="AA44" i="2"/>
  <c r="AA14" i="2"/>
  <c r="R44" i="2"/>
  <c r="F11" i="7" s="1"/>
  <c r="R45" i="2"/>
</calcChain>
</file>

<file path=xl/sharedStrings.xml><?xml version="1.0" encoding="utf-8"?>
<sst xmlns="http://schemas.openxmlformats.org/spreadsheetml/2006/main" count="581" uniqueCount="148">
  <si>
    <t>Experimento de Capassitação Profissional</t>
  </si>
  <si>
    <t>Controle</t>
  </si>
  <si>
    <t>Metodo de Treinamento:</t>
  </si>
  <si>
    <t>Tradicional</t>
  </si>
  <si>
    <t>Amostragem</t>
  </si>
  <si>
    <t>Média geral</t>
  </si>
  <si>
    <t>Fechamento</t>
  </si>
  <si>
    <t>Classe</t>
  </si>
  <si>
    <t>C1H</t>
  </si>
  <si>
    <t>C1M</t>
  </si>
  <si>
    <t>C2H</t>
  </si>
  <si>
    <t>C2M</t>
  </si>
  <si>
    <t>C3H</t>
  </si>
  <si>
    <t>C3M</t>
  </si>
  <si>
    <t>C4H</t>
  </si>
  <si>
    <t>C4M</t>
  </si>
  <si>
    <t xml:space="preserve">C1: 18-30 </t>
  </si>
  <si>
    <t>C4: &gt;60</t>
  </si>
  <si>
    <t>Grupo :</t>
  </si>
  <si>
    <t>Defeito grupo controle</t>
  </si>
  <si>
    <t>C2H1</t>
  </si>
  <si>
    <t>C1H1</t>
  </si>
  <si>
    <t>C1H2</t>
  </si>
  <si>
    <t>C1H3</t>
  </si>
  <si>
    <t>C1H4</t>
  </si>
  <si>
    <t>C1M1</t>
  </si>
  <si>
    <t>C1M2</t>
  </si>
  <si>
    <t>C1M3</t>
  </si>
  <si>
    <t>C1M4</t>
  </si>
  <si>
    <t>C2H2</t>
  </si>
  <si>
    <t>C2H3</t>
  </si>
  <si>
    <t>C2H4</t>
  </si>
  <si>
    <t>C2M1</t>
  </si>
  <si>
    <t>C2M2</t>
  </si>
  <si>
    <t>C2M3</t>
  </si>
  <si>
    <t>C2M4</t>
  </si>
  <si>
    <t>C3H1</t>
  </si>
  <si>
    <t>C3H2</t>
  </si>
  <si>
    <t>C3H3</t>
  </si>
  <si>
    <t>C3H4</t>
  </si>
  <si>
    <t>C4M1</t>
  </si>
  <si>
    <t>C3M1</t>
  </si>
  <si>
    <t>C3M2</t>
  </si>
  <si>
    <t>C3M3</t>
  </si>
  <si>
    <t>C3M4</t>
  </si>
  <si>
    <t>C4H1</t>
  </si>
  <si>
    <t>C4H2</t>
  </si>
  <si>
    <t>C4H3</t>
  </si>
  <si>
    <t>C4H4</t>
  </si>
  <si>
    <t>C4M2</t>
  </si>
  <si>
    <t>C4M3</t>
  </si>
  <si>
    <t>C4M4</t>
  </si>
  <si>
    <t>Faltou o prolongador do castelo</t>
  </si>
  <si>
    <t xml:space="preserve"> L2P5 </t>
  </si>
  <si>
    <t>Experimento</t>
  </si>
  <si>
    <t>Defeitos</t>
  </si>
  <si>
    <t>Peça Defeituosa</t>
  </si>
  <si>
    <t>Defeito</t>
  </si>
  <si>
    <t>Falhas de montagem</t>
  </si>
  <si>
    <t>Sem Instruções</t>
  </si>
  <si>
    <t>Legenda</t>
  </si>
  <si>
    <t>C2: 31-45</t>
  </si>
  <si>
    <t>C3: 46-60</t>
  </si>
  <si>
    <t>L1P1</t>
  </si>
  <si>
    <t>Esmagou o anel do castelo</t>
  </si>
  <si>
    <t>L2P1</t>
  </si>
  <si>
    <t>Gaveta mal enroscada</t>
  </si>
  <si>
    <t>L1P3</t>
  </si>
  <si>
    <t>Montagem errada</t>
  </si>
  <si>
    <t>L1P5</t>
  </si>
  <si>
    <t>Esgalou a rosca da gaveta</t>
  </si>
  <si>
    <t>Total</t>
  </si>
  <si>
    <t>Prolongador mal enroscado</t>
  </si>
  <si>
    <t>L3P3</t>
  </si>
  <si>
    <t>L2P4</t>
  </si>
  <si>
    <t>Não colocou o regulador</t>
  </si>
  <si>
    <t>L1P1,...,L1P5</t>
  </si>
  <si>
    <t>Castelo mal enroscado</t>
  </si>
  <si>
    <t>L3P5</t>
  </si>
  <si>
    <t>L1P4</t>
  </si>
  <si>
    <t>L1P2 e L2P1</t>
  </si>
  <si>
    <t>L2P1, L2P2 e L3P4</t>
  </si>
  <si>
    <t>Total de Peças Montadas</t>
  </si>
  <si>
    <t>Percentual de Defeitos</t>
  </si>
  <si>
    <t>L2P2 e L2P3</t>
  </si>
  <si>
    <t>L2P2</t>
  </si>
  <si>
    <t>L2P3</t>
  </si>
  <si>
    <t>L1P4 e L2P4</t>
  </si>
  <si>
    <t>Lote 1 (L1)</t>
  </si>
  <si>
    <t>Lote 2 (L2)</t>
  </si>
  <si>
    <t>Lote 3 (L3)</t>
  </si>
  <si>
    <t>P1</t>
  </si>
  <si>
    <t>P2</t>
  </si>
  <si>
    <t>P3</t>
  </si>
  <si>
    <t>P4</t>
  </si>
  <si>
    <t>P5</t>
  </si>
  <si>
    <t>L1P1, L1P3,L2P2 e L2P3</t>
  </si>
  <si>
    <t>L2P2, L3P2</t>
  </si>
  <si>
    <t>Regulador montado errado</t>
  </si>
  <si>
    <t>Faltou o botão</t>
  </si>
  <si>
    <t>L2P1 e L2P2</t>
  </si>
  <si>
    <t>L1P3, L2P3, L2P4</t>
  </si>
  <si>
    <t>L1P4, L1P5, L2P3, L2P4</t>
  </si>
  <si>
    <t>L1P2</t>
  </si>
  <si>
    <t>L1P2 e L1P4</t>
  </si>
  <si>
    <t>L1P3, L2P2 e L2P3</t>
  </si>
  <si>
    <t>L1P2, L1P5 e L2P4</t>
  </si>
  <si>
    <t>L1P5 e L2P5</t>
  </si>
  <si>
    <t>L3P1</t>
  </si>
  <si>
    <t>R</t>
  </si>
  <si>
    <t>S</t>
  </si>
  <si>
    <t>L1P3 e L2P4</t>
  </si>
  <si>
    <t>L1P1 e L2P2</t>
  </si>
  <si>
    <t>L1P1 e L3P1</t>
  </si>
  <si>
    <t>L2P5</t>
  </si>
  <si>
    <t>Faltou o Regulador</t>
  </si>
  <si>
    <t>-</t>
  </si>
  <si>
    <t>L3P2</t>
  </si>
  <si>
    <t>Faltou o parafuso</t>
  </si>
  <si>
    <t>Classes:</t>
  </si>
  <si>
    <t>Tempos de Montagem do Registro</t>
  </si>
  <si>
    <t>Quantidade de Defeitos</t>
  </si>
  <si>
    <t>Tipo de Defeitos</t>
  </si>
  <si>
    <t>%</t>
  </si>
  <si>
    <t>Experimento Sem Defeitos</t>
  </si>
  <si>
    <t>&lt;= média</t>
  </si>
  <si>
    <t>Total peças</t>
  </si>
  <si>
    <t>Geral</t>
  </si>
  <si>
    <t>media</t>
  </si>
  <si>
    <t>L1</t>
  </si>
  <si>
    <t>L2</t>
  </si>
  <si>
    <t>L3</t>
  </si>
  <si>
    <t>Falhas</t>
  </si>
  <si>
    <t>Pçs</t>
  </si>
  <si>
    <t>Experimental</t>
  </si>
  <si>
    <t>RA</t>
  </si>
  <si>
    <t>&lt;1s</t>
  </si>
  <si>
    <t>&lt;2s</t>
  </si>
  <si>
    <t>X</t>
  </si>
  <si>
    <t>Defeito grupo Experimental</t>
  </si>
  <si>
    <t>L2P2 e L3P2</t>
  </si>
  <si>
    <t>Indice de Defeitos no Grupo Controle</t>
  </si>
  <si>
    <t>Indice de Defeitos no Grupo Experimental</t>
  </si>
  <si>
    <t>Media dos Tempos</t>
  </si>
  <si>
    <t xml:space="preserve">Experimental </t>
  </si>
  <si>
    <t>Amplitude Media</t>
  </si>
  <si>
    <t>Falhas de Montagem</t>
  </si>
  <si>
    <t>Comparativo Entre as Falhas de Montagem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</si>
</sst>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90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2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0" xfId="0" applyBorder="1"/>
    <xf numFmtId="0" fontId="0" fillId="3" borderId="51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/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2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4" borderId="60" xfId="0" applyFont="1" applyFill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6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42" xfId="0" applyNumberFormat="1" applyFont="1" applyFill="1" applyBorder="1" applyAlignment="1">
      <alignment horizontal="center"/>
    </xf>
    <xf numFmtId="2" fontId="2" fillId="2" borderId="50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24" xfId="0" applyNumberFormat="1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/>
    <xf numFmtId="9" fontId="0" fillId="0" borderId="42" xfId="1" applyFont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9" xfId="0" applyBorder="1"/>
    <xf numFmtId="0" fontId="0" fillId="0" borderId="10" xfId="0" applyBorder="1" applyAlignment="1">
      <alignment horizontal="center"/>
    </xf>
    <xf numFmtId="9" fontId="0" fillId="0" borderId="11" xfId="1" applyFont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9" fontId="3" fillId="0" borderId="8" xfId="1" applyFont="1" applyBorder="1" applyAlignment="1">
      <alignment horizontal="center"/>
    </xf>
    <xf numFmtId="9" fontId="3" fillId="0" borderId="13" xfId="1" applyFont="1" applyBorder="1" applyAlignment="1">
      <alignment horizontal="center"/>
    </xf>
    <xf numFmtId="2" fontId="2" fillId="2" borderId="20" xfId="0" applyNumberFormat="1" applyFont="1" applyFill="1" applyBorder="1" applyAlignment="1">
      <alignment horizontal="center"/>
    </xf>
    <xf numFmtId="2" fontId="2" fillId="2" borderId="21" xfId="0" applyNumberFormat="1" applyFont="1" applyFill="1" applyBorder="1" applyAlignment="1">
      <alignment horizontal="center"/>
    </xf>
    <xf numFmtId="2" fontId="2" fillId="2" borderId="33" xfId="0" applyNumberFormat="1" applyFont="1" applyFill="1" applyBorder="1" applyAlignment="1">
      <alignment horizontal="center"/>
    </xf>
    <xf numFmtId="2" fontId="2" fillId="2" borderId="48" xfId="0" applyNumberFormat="1" applyFont="1" applyFill="1" applyBorder="1" applyAlignment="1">
      <alignment horizontal="center"/>
    </xf>
    <xf numFmtId="2" fontId="2" fillId="2" borderId="49" xfId="0" applyNumberFormat="1" applyFont="1" applyFill="1" applyBorder="1" applyAlignment="1">
      <alignment horizontal="center"/>
    </xf>
    <xf numFmtId="2" fontId="2" fillId="2" borderId="34" xfId="0" applyNumberFormat="1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1" fillId="2" borderId="62" xfId="0" applyFont="1" applyFill="1" applyBorder="1" applyAlignment="1">
      <alignment horizontal="center"/>
    </xf>
    <xf numFmtId="2" fontId="1" fillId="2" borderId="51" xfId="0" applyNumberFormat="1" applyFont="1" applyFill="1" applyBorder="1" applyAlignment="1">
      <alignment horizontal="center"/>
    </xf>
    <xf numFmtId="2" fontId="1" fillId="2" borderId="26" xfId="0" applyNumberFormat="1" applyFont="1" applyFill="1" applyBorder="1" applyAlignment="1">
      <alignment horizontal="center"/>
    </xf>
    <xf numFmtId="2" fontId="1" fillId="2" borderId="27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2" borderId="4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58" xfId="0" applyFont="1" applyFill="1" applyBorder="1" applyAlignment="1">
      <alignment horizontal="center"/>
    </xf>
    <xf numFmtId="0" fontId="1" fillId="2" borderId="59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2" fontId="1" fillId="2" borderId="45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164" fontId="1" fillId="2" borderId="51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/>
    </xf>
    <xf numFmtId="164" fontId="1" fillId="2" borderId="63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9" fontId="2" fillId="0" borderId="0" xfId="1" applyFont="1" applyAlignment="1">
      <alignment horizontal="center"/>
    </xf>
    <xf numFmtId="0" fontId="2" fillId="0" borderId="66" xfId="0" applyFont="1" applyBorder="1" applyAlignment="1">
      <alignment horizontal="center"/>
    </xf>
    <xf numFmtId="9" fontId="2" fillId="0" borderId="40" xfId="1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2" fillId="0" borderId="0" xfId="1" applyFont="1"/>
    <xf numFmtId="0" fontId="2" fillId="0" borderId="30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2" fontId="2" fillId="2" borderId="60" xfId="0" applyNumberFormat="1" applyFont="1" applyFill="1" applyBorder="1" applyAlignment="1">
      <alignment horizontal="center"/>
    </xf>
    <xf numFmtId="2" fontId="2" fillId="2" borderId="67" xfId="0" applyNumberFormat="1" applyFont="1" applyFill="1" applyBorder="1" applyAlignment="1">
      <alignment horizontal="center"/>
    </xf>
    <xf numFmtId="2" fontId="2" fillId="2" borderId="55" xfId="0" applyNumberFormat="1" applyFont="1" applyFill="1" applyBorder="1" applyAlignment="1">
      <alignment horizontal="center"/>
    </xf>
    <xf numFmtId="2" fontId="2" fillId="2" borderId="43" xfId="0" applyNumberFormat="1" applyFont="1" applyFill="1" applyBorder="1" applyAlignment="1">
      <alignment horizontal="center"/>
    </xf>
    <xf numFmtId="2" fontId="2" fillId="2" borderId="54" xfId="0" applyNumberFormat="1" applyFont="1" applyFill="1" applyBorder="1" applyAlignment="1">
      <alignment horizontal="center"/>
    </xf>
    <xf numFmtId="0" fontId="1" fillId="2" borderId="56" xfId="0" applyFont="1" applyFill="1" applyBorder="1" applyAlignment="1">
      <alignment horizontal="center"/>
    </xf>
    <xf numFmtId="0" fontId="1" fillId="2" borderId="6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2" fillId="5" borderId="57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4" borderId="5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6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1" xfId="0" applyFont="1" applyFill="1" applyBorder="1" applyAlignment="1">
      <alignment horizontal="center"/>
    </xf>
    <xf numFmtId="0" fontId="2" fillId="7" borderId="42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43" xfId="0" applyFont="1" applyFill="1" applyBorder="1" applyAlignment="1">
      <alignment horizontal="center"/>
    </xf>
    <xf numFmtId="2" fontId="1" fillId="2" borderId="57" xfId="0" applyNumberFormat="1" applyFont="1" applyFill="1" applyBorder="1" applyAlignment="1">
      <alignment horizontal="center"/>
    </xf>
    <xf numFmtId="2" fontId="1" fillId="2" borderId="47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/>
    </xf>
    <xf numFmtId="0" fontId="2" fillId="7" borderId="54" xfId="0" applyFont="1" applyFill="1" applyBorder="1" applyAlignment="1">
      <alignment horizontal="center"/>
    </xf>
    <xf numFmtId="0" fontId="2" fillId="7" borderId="55" xfId="0" applyFont="1" applyFill="1" applyBorder="1" applyAlignment="1">
      <alignment horizontal="center"/>
    </xf>
    <xf numFmtId="0" fontId="2" fillId="7" borderId="67" xfId="0" applyFont="1" applyFill="1" applyBorder="1" applyAlignment="1">
      <alignment horizontal="center"/>
    </xf>
    <xf numFmtId="0" fontId="1" fillId="2" borderId="70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2" fillId="2" borderId="41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2" fontId="2" fillId="2" borderId="71" xfId="0" applyNumberFormat="1" applyFont="1" applyFill="1" applyBorder="1" applyAlignment="1">
      <alignment horizontal="center"/>
    </xf>
    <xf numFmtId="2" fontId="2" fillId="2" borderId="53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7" borderId="50" xfId="0" applyFont="1" applyFill="1" applyBorder="1" applyAlignment="1">
      <alignment horizontal="center"/>
    </xf>
    <xf numFmtId="0" fontId="2" fillId="4" borderId="41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10" fontId="2" fillId="0" borderId="0" xfId="1" applyNumberFormat="1" applyFont="1" applyAlignment="1">
      <alignment horizont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5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1" xfId="0" applyBorder="1" applyAlignment="1">
      <alignment horizontal="center"/>
    </xf>
    <xf numFmtId="9" fontId="3" fillId="0" borderId="13" xfId="1" applyNumberFormat="1" applyFont="1" applyBorder="1" applyAlignment="1">
      <alignment horizontal="center"/>
    </xf>
    <xf numFmtId="0" fontId="0" fillId="0" borderId="11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1" fontId="0" fillId="0" borderId="5" xfId="0" applyNumberFormat="1" applyBorder="1" applyAlignment="1">
      <alignment horizontal="center"/>
    </xf>
    <xf numFmtId="1" fontId="0" fillId="0" borderId="42" xfId="0" applyNumberForma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8" borderId="11" xfId="0" applyNumberFormat="1" applyFill="1" applyBorder="1" applyAlignment="1">
      <alignment horizontal="center"/>
    </xf>
    <xf numFmtId="1" fontId="0" fillId="8" borderId="42" xfId="0" applyNumberForma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1" fontId="0" fillId="8" borderId="8" xfId="0" applyNumberFormat="1" applyFill="1" applyBorder="1" applyAlignment="1">
      <alignment horizontal="center"/>
    </xf>
    <xf numFmtId="1" fontId="0" fillId="8" borderId="4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0" borderId="1" xfId="0" applyFill="1" applyBorder="1"/>
    <xf numFmtId="9" fontId="0" fillId="0" borderId="1" xfId="1" applyFont="1" applyFill="1" applyBorder="1"/>
    <xf numFmtId="9" fontId="0" fillId="0" borderId="1" xfId="0" applyNumberFormat="1" applyFill="1" applyBorder="1"/>
    <xf numFmtId="0" fontId="1" fillId="2" borderId="6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" fontId="0" fillId="0" borderId="72" xfId="0" applyNumberFormat="1" applyBorder="1" applyAlignment="1">
      <alignment horizontal="center"/>
    </xf>
    <xf numFmtId="1" fontId="0" fillId="8" borderId="60" xfId="0" applyNumberFormat="1" applyFill="1" applyBorder="1" applyAlignment="1">
      <alignment horizontal="center"/>
    </xf>
    <xf numFmtId="1" fontId="0" fillId="0" borderId="60" xfId="0" applyNumberFormat="1" applyBorder="1" applyAlignment="1">
      <alignment horizontal="center"/>
    </xf>
    <xf numFmtId="1" fontId="0" fillId="8" borderId="71" xfId="0" applyNumberFormat="1" applyFill="1" applyBorder="1" applyAlignment="1">
      <alignment horizontal="center"/>
    </xf>
    <xf numFmtId="1" fontId="0" fillId="8" borderId="3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72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41" xfId="0" applyNumberFormat="1" applyFill="1" applyBorder="1" applyAlignment="1">
      <alignment horizontal="center"/>
    </xf>
    <xf numFmtId="1" fontId="0" fillId="0" borderId="5" xfId="0" applyNumberFormat="1" applyFill="1" applyBorder="1" applyAlignment="1">
      <alignment horizontal="center"/>
    </xf>
    <xf numFmtId="1" fontId="0" fillId="0" borderId="42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" fontId="0" fillId="0" borderId="60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8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0" borderId="71" xfId="0" applyNumberFormat="1" applyFill="1" applyBorder="1" applyAlignment="1">
      <alignment horizontal="center"/>
    </xf>
    <xf numFmtId="2" fontId="0" fillId="0" borderId="9" xfId="0" applyNumberFormat="1" applyFill="1" applyBorder="1" applyAlignment="1">
      <alignment horizontal="center"/>
    </xf>
    <xf numFmtId="2" fontId="0" fillId="0" borderId="11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7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2" fontId="0" fillId="0" borderId="41" xfId="0" applyNumberForma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42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60" xfId="0" applyNumberFormat="1" applyFill="1" applyBorder="1" applyAlignment="1">
      <alignment horizontal="center"/>
    </xf>
    <xf numFmtId="2" fontId="0" fillId="0" borderId="6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71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9" fontId="0" fillId="0" borderId="0" xfId="1" applyFont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6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29" xfId="0" applyFont="1" applyBorder="1" applyAlignment="1">
      <alignment horizontal="center" textRotation="90"/>
    </xf>
    <xf numFmtId="0" fontId="2" fillId="0" borderId="30" xfId="0" applyFont="1" applyBorder="1" applyAlignment="1">
      <alignment horizontal="center" textRotation="90"/>
    </xf>
    <xf numFmtId="0" fontId="2" fillId="0" borderId="6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4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19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" fillId="2" borderId="51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2" fillId="0" borderId="36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1" fillId="0" borderId="35" xfId="0" applyFont="1" applyBorder="1" applyAlignment="1">
      <alignment horizontal="right"/>
    </xf>
    <xf numFmtId="0" fontId="1" fillId="0" borderId="36" xfId="0" applyFont="1" applyBorder="1" applyAlignment="1">
      <alignment horizontal="right"/>
    </xf>
    <xf numFmtId="10" fontId="2" fillId="0" borderId="0" xfId="1" applyNumberFormat="1" applyFont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3" fillId="0" borderId="15" xfId="0" applyFont="1" applyBorder="1" applyAlignment="1">
      <alignment horizontal="right"/>
    </xf>
    <xf numFmtId="0" fontId="3" fillId="0" borderId="5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57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31" xfId="0" applyFont="1" applyBorder="1" applyAlignment="1">
      <alignment horizontal="center" textRotation="90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35" xfId="0" applyFont="1" applyFill="1" applyBorder="1" applyAlignment="1">
      <alignment horizontal="center"/>
    </xf>
    <xf numFmtId="0" fontId="3" fillId="0" borderId="36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1" fillId="2" borderId="35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Média de Montagem L1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'Comp. Tempos'!$C$3</c:f>
              <c:strCache>
                <c:ptCount val="1"/>
                <c:pt idx="0">
                  <c:v>Controle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03626943005181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84-46FB-86D2-5D4899F2CF91}"/>
                </c:ext>
              </c:extLst>
            </c:dLbl>
            <c:dLbl>
              <c:idx val="1"/>
              <c:layout>
                <c:manualLayout>
                  <c:x val="-1.7271157167530225E-2"/>
                  <c:y val="1.789708751910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84-46FB-86D2-5D4899F2CF91}"/>
                </c:ext>
              </c:extLst>
            </c:dLbl>
            <c:dLbl>
              <c:idx val="2"/>
              <c:layout>
                <c:manualLayout>
                  <c:x val="-1.0362694300518198E-2"/>
                  <c:y val="1.7897087519106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84-46FB-86D2-5D4899F2CF91}"/>
                </c:ext>
              </c:extLst>
            </c:dLbl>
            <c:dLbl>
              <c:idx val="3"/>
              <c:layout>
                <c:manualLayout>
                  <c:x val="-1.3816925734024243E-2"/>
                  <c:y val="1.7897087519106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84-46FB-86D2-5D4899F2CF91}"/>
                </c:ext>
              </c:extLst>
            </c:dLbl>
            <c:dLbl>
              <c:idx val="4"/>
              <c:layout>
                <c:manualLayout>
                  <c:x val="-1.036269430051819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84-46FB-86D2-5D4899F2CF91}"/>
                </c:ext>
              </c:extLst>
            </c:dLbl>
            <c:dLbl>
              <c:idx val="5"/>
              <c:layout>
                <c:manualLayout>
                  <c:x val="-1.0362694300518262E-2"/>
                  <c:y val="-5.468491347248349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84-46FB-86D2-5D4899F2CF91}"/>
                </c:ext>
              </c:extLst>
            </c:dLbl>
            <c:dLbl>
              <c:idx val="6"/>
              <c:layout>
                <c:manualLayout>
                  <c:x val="-1.0362694300518135E-2"/>
                  <c:y val="1.789708751910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84-46FB-86D2-5D4899F2CF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'Comp. Tempos'!$B$4:$B$11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Tempos'!$C$4:$C$11</c:f>
              <c:numCache>
                <c:formatCode>0</c:formatCode>
                <c:ptCount val="8"/>
                <c:pt idx="0">
                  <c:v>112.89999999999999</c:v>
                </c:pt>
                <c:pt idx="1">
                  <c:v>152.60000000000002</c:v>
                </c:pt>
                <c:pt idx="2">
                  <c:v>101.55</c:v>
                </c:pt>
                <c:pt idx="3">
                  <c:v>142.4</c:v>
                </c:pt>
                <c:pt idx="4">
                  <c:v>122.25</c:v>
                </c:pt>
                <c:pt idx="5">
                  <c:v>132.55000000000001</c:v>
                </c:pt>
                <c:pt idx="6">
                  <c:v>112.10000000000001</c:v>
                </c:pt>
                <c:pt idx="7">
                  <c:v>163.95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4-46FB-86D2-5D4899F2CF91}"/>
            </c:ext>
          </c:extLst>
        </c:ser>
        <c:ser>
          <c:idx val="1"/>
          <c:order val="1"/>
          <c:tx>
            <c:strRef>
              <c:f>'Comp. Tempos'!$D$3</c:f>
              <c:strCache>
                <c:ptCount val="1"/>
                <c:pt idx="0">
                  <c:v>Experimental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816925734024179E-2"/>
                  <c:y val="1.193139167940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84-46FB-86D2-5D4899F2CF91}"/>
                </c:ext>
              </c:extLst>
            </c:dLbl>
            <c:dLbl>
              <c:idx val="1"/>
              <c:layout>
                <c:manualLayout>
                  <c:x val="6.9084628670120895E-3"/>
                  <c:y val="1.193139167940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84-46FB-86D2-5D4899F2CF91}"/>
                </c:ext>
              </c:extLst>
            </c:dLbl>
            <c:dLbl>
              <c:idx val="4"/>
              <c:layout>
                <c:manualLayout>
                  <c:x val="6.9084628670119629E-3"/>
                  <c:y val="2.982847919851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84-46FB-86D2-5D4899F2CF91}"/>
                </c:ext>
              </c:extLst>
            </c:dLbl>
            <c:dLbl>
              <c:idx val="7"/>
              <c:layout>
                <c:manualLayout>
                  <c:x val="1.7271157167530225E-2"/>
                  <c:y val="2.9828479198511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84-46FB-86D2-5D4899F2CF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'Comp. Tempos'!$B$4:$B$11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Tempos'!$D$4:$D$11</c:f>
              <c:numCache>
                <c:formatCode>0</c:formatCode>
                <c:ptCount val="8"/>
                <c:pt idx="0">
                  <c:v>112.15</c:v>
                </c:pt>
                <c:pt idx="1">
                  <c:v>147.875</c:v>
                </c:pt>
                <c:pt idx="2">
                  <c:v>112.17500000000001</c:v>
                </c:pt>
                <c:pt idx="3">
                  <c:v>147.875</c:v>
                </c:pt>
                <c:pt idx="4">
                  <c:v>117.45</c:v>
                </c:pt>
                <c:pt idx="5">
                  <c:v>148.35</c:v>
                </c:pt>
                <c:pt idx="6">
                  <c:v>138.02500000000001</c:v>
                </c:pt>
                <c:pt idx="7">
                  <c:v>138.02500000000001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4-46FB-86D2-5D4899F2C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27295"/>
        <c:axId val="489858031"/>
      </c:barChart>
      <c:catAx>
        <c:axId val="9746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858031"/>
        <c:crosses val="autoZero"/>
        <c:auto val="1"/>
        <c:lblAlgn val="ctr"/>
        <c:lblOffset val="100"/>
        <c:noMultiLvlLbl val="0"/>
      </c:catAx>
      <c:valAx>
        <c:axId val="4898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462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Falhas de Montagem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Falhas!$C$3</c:f>
              <c:strCache>
                <c:ptCount val="1"/>
                <c:pt idx="0">
                  <c:v>Controle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Falhas!$B$4:$B$11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Falhas!$C$4:$C$11</c:f>
              <c:numCache>
                <c:formatCode>0</c:formatCode>
                <c:ptCount val="8"/>
                <c:pt idx="0">
                  <c:v>12</c:v>
                </c:pt>
                <c:pt idx="1">
                  <c:v>26</c:v>
                </c:pt>
                <c:pt idx="2">
                  <c:v>17</c:v>
                </c:pt>
                <c:pt idx="3">
                  <c:v>23</c:v>
                </c:pt>
                <c:pt idx="4">
                  <c:v>17</c:v>
                </c:pt>
                <c:pt idx="5">
                  <c:v>16</c:v>
                </c:pt>
                <c:pt idx="6">
                  <c:v>14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D-41B9-9130-0EE4E7156305}"/>
            </c:ext>
          </c:extLst>
        </c:ser>
        <c:ser>
          <c:idx val="1"/>
          <c:order val="1"/>
          <c:tx>
            <c:strRef>
              <c:f>Falhas!$D$3</c:f>
              <c:strCache>
                <c:ptCount val="1"/>
                <c:pt idx="0">
                  <c:v>Experimental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Falhas!$B$4:$B$11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Falhas!$D$4:$D$11</c:f>
              <c:numCache>
                <c:formatCode>0</c:formatCode>
                <c:ptCount val="8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D-41B9-9130-0EE4E7156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1799135"/>
        <c:axId val="821505247"/>
      </c:barChart>
      <c:catAx>
        <c:axId val="108179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1505247"/>
        <c:crosses val="autoZero"/>
        <c:auto val="1"/>
        <c:lblAlgn val="ctr"/>
        <c:lblOffset val="100"/>
        <c:noMultiLvlLbl val="0"/>
      </c:catAx>
      <c:valAx>
        <c:axId val="82150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8179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Média de Montagem L2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'Comp. Tempos'!$E$3</c:f>
              <c:strCache>
                <c:ptCount val="1"/>
                <c:pt idx="0">
                  <c:v>Controle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3C-468A-9A59-B574BCB0CB5B}"/>
                </c:ext>
              </c:extLst>
            </c:dLbl>
            <c:dLbl>
              <c:idx val="3"/>
              <c:layout>
                <c:manualLayout>
                  <c:x val="-1.0389613222787121E-2"/>
                  <c:y val="5.9790732436471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C3C-468A-9A59-B574BCB0CB5B}"/>
                </c:ext>
              </c:extLst>
            </c:dLbl>
            <c:dLbl>
              <c:idx val="5"/>
              <c:layout>
                <c:manualLayout>
                  <c:x val="-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C3C-468A-9A59-B574BCB0CB5B}"/>
                </c:ext>
              </c:extLst>
            </c:dLbl>
            <c:dLbl>
              <c:idx val="6"/>
              <c:layout>
                <c:manualLayout>
                  <c:x val="-6.92640881519141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C3C-468A-9A59-B574BCB0C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Tempos'!$B$4:$B$11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Tempos'!$E$4:$E$11</c:f>
              <c:numCache>
                <c:formatCode>0</c:formatCode>
                <c:ptCount val="8"/>
                <c:pt idx="0">
                  <c:v>81.25</c:v>
                </c:pt>
                <c:pt idx="1">
                  <c:v>122</c:v>
                </c:pt>
                <c:pt idx="2">
                  <c:v>84.25</c:v>
                </c:pt>
                <c:pt idx="3">
                  <c:v>82.15</c:v>
                </c:pt>
                <c:pt idx="4">
                  <c:v>88.100000000000009</c:v>
                </c:pt>
                <c:pt idx="5">
                  <c:v>102.3</c:v>
                </c:pt>
                <c:pt idx="6">
                  <c:v>84.55</c:v>
                </c:pt>
                <c:pt idx="7">
                  <c:v>106.45000000000002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3C-468A-9A59-B574BCB0CB5B}"/>
            </c:ext>
          </c:extLst>
        </c:ser>
        <c:ser>
          <c:idx val="1"/>
          <c:order val="1"/>
          <c:tx>
            <c:strRef>
              <c:f>'Comp. Tempos'!$F$3</c:f>
              <c:strCache>
                <c:ptCount val="1"/>
                <c:pt idx="0">
                  <c:v>Experimental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7316022037978537E-2"/>
                  <c:y val="5.9790732436471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C3C-468A-9A59-B574BCB0CB5B}"/>
                </c:ext>
              </c:extLst>
            </c:dLbl>
            <c:dLbl>
              <c:idx val="2"/>
              <c:layout>
                <c:manualLayout>
                  <c:x val="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3C-468A-9A59-B574BCB0CB5B}"/>
                </c:ext>
              </c:extLst>
            </c:dLbl>
            <c:dLbl>
              <c:idx val="4"/>
              <c:layout>
                <c:manualLayout>
                  <c:x val="1.0389613222786994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3C-468A-9A59-B574BCB0CB5B}"/>
                </c:ext>
              </c:extLst>
            </c:dLbl>
            <c:dLbl>
              <c:idx val="5"/>
              <c:layout>
                <c:manualLayout>
                  <c:x val="6.9264088151914146E-3"/>
                  <c:y val="1.19581464872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C3C-468A-9A59-B574BCB0CB5B}"/>
                </c:ext>
              </c:extLst>
            </c:dLbl>
            <c:dLbl>
              <c:idx val="7"/>
              <c:layout>
                <c:manualLayout>
                  <c:x val="1.0389613222786994E-2"/>
                  <c:y val="1.19581464872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C3C-468A-9A59-B574BCB0CB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Tempos'!$B$4:$B$11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Tempos'!$F$4:$F$11</c:f>
              <c:numCache>
                <c:formatCode>0</c:formatCode>
                <c:ptCount val="8"/>
                <c:pt idx="0">
                  <c:v>84.501249999999999</c:v>
                </c:pt>
                <c:pt idx="1">
                  <c:v>102.97749999999999</c:v>
                </c:pt>
                <c:pt idx="2">
                  <c:v>84.500000000000014</c:v>
                </c:pt>
                <c:pt idx="3">
                  <c:v>102.91249999999999</c:v>
                </c:pt>
                <c:pt idx="4">
                  <c:v>86.2</c:v>
                </c:pt>
                <c:pt idx="5">
                  <c:v>104.3</c:v>
                </c:pt>
                <c:pt idx="6">
                  <c:v>95.575000000000003</c:v>
                </c:pt>
                <c:pt idx="7">
                  <c:v>95.827500000000015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3C-468A-9A59-B574BCB0C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27295"/>
        <c:axId val="489858031"/>
      </c:barChart>
      <c:catAx>
        <c:axId val="9746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858031"/>
        <c:crosses val="autoZero"/>
        <c:auto val="1"/>
        <c:lblAlgn val="ctr"/>
        <c:lblOffset val="100"/>
        <c:noMultiLvlLbl val="0"/>
      </c:catAx>
      <c:valAx>
        <c:axId val="4898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4627295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Média de Montagem L3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'Comp. Tempos'!$G$3</c:f>
              <c:strCache>
                <c:ptCount val="1"/>
                <c:pt idx="0">
                  <c:v>Controle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3852817630382829E-2"/>
                  <c:y val="-5.48075382587407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05-4048-B0ED-D9ED3CE3D00C}"/>
                </c:ext>
              </c:extLst>
            </c:dLbl>
            <c:dLbl>
              <c:idx val="1"/>
              <c:layout>
                <c:manualLayout>
                  <c:x val="-1.038961322278712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05-4048-B0ED-D9ED3CE3D00C}"/>
                </c:ext>
              </c:extLst>
            </c:dLbl>
            <c:dLbl>
              <c:idx val="2"/>
              <c:layout>
                <c:manualLayout>
                  <c:x val="-1.03896132227871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05-4048-B0ED-D9ED3CE3D00C}"/>
                </c:ext>
              </c:extLst>
            </c:dLbl>
            <c:dLbl>
              <c:idx val="3"/>
              <c:layout>
                <c:manualLayout>
                  <c:x val="-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05-4048-B0ED-D9ED3CE3D00C}"/>
                </c:ext>
              </c:extLst>
            </c:dLbl>
            <c:dLbl>
              <c:idx val="4"/>
              <c:layout>
                <c:manualLayout>
                  <c:x val="-1.0389613222787121E-2"/>
                  <c:y val="5.9790732436472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05-4048-B0ED-D9ED3CE3D00C}"/>
                </c:ext>
              </c:extLst>
            </c:dLbl>
            <c:dLbl>
              <c:idx val="5"/>
              <c:layout>
                <c:manualLayout>
                  <c:x val="-6.9264088151914146E-3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05-4048-B0ED-D9ED3CE3D00C}"/>
                </c:ext>
              </c:extLst>
            </c:dLbl>
            <c:dLbl>
              <c:idx val="6"/>
              <c:layout>
                <c:manualLayout>
                  <c:x val="-6.9264088151914146E-3"/>
                  <c:y val="1.19581464872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05-4048-B0ED-D9ED3CE3D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Tempos'!$B$4:$B$11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Tempos'!$G$4:$G$11</c:f>
              <c:numCache>
                <c:formatCode>0</c:formatCode>
                <c:ptCount val="8"/>
                <c:pt idx="0">
                  <c:v>76.099999999999994</c:v>
                </c:pt>
                <c:pt idx="1">
                  <c:v>97.699999999999989</c:v>
                </c:pt>
                <c:pt idx="2">
                  <c:v>81.400000000000006</c:v>
                </c:pt>
                <c:pt idx="3">
                  <c:v>87.25</c:v>
                </c:pt>
                <c:pt idx="4">
                  <c:v>73.45</c:v>
                </c:pt>
                <c:pt idx="5">
                  <c:v>89</c:v>
                </c:pt>
                <c:pt idx="6">
                  <c:v>76.849999999999994</c:v>
                </c:pt>
                <c:pt idx="7">
                  <c:v>95.149999999999991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05-4048-B0ED-D9ED3CE3D00C}"/>
            </c:ext>
          </c:extLst>
        </c:ser>
        <c:ser>
          <c:idx val="1"/>
          <c:order val="1"/>
          <c:tx>
            <c:strRef>
              <c:f>'Comp. Tempos'!$H$3</c:f>
              <c:strCache>
                <c:ptCount val="1"/>
                <c:pt idx="0">
                  <c:v>Experimental </c:v>
                </c:pt>
              </c:strCache>
            </c:strRef>
          </c:tx>
          <c:invertIfNegative val="0"/>
          <c:dLbls>
            <c:dLbl>
              <c:idx val="7"/>
              <c:layout>
                <c:manualLayout>
                  <c:x val="3.4632044075955802E-3"/>
                  <c:y val="1.1958146487294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05-4048-B0ED-D9ED3CE3D0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Tempos'!$B$4:$B$11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Tempos'!$H$4:$H$11</c:f>
              <c:numCache>
                <c:formatCode>0</c:formatCode>
                <c:ptCount val="8"/>
                <c:pt idx="0">
                  <c:v>76.95</c:v>
                </c:pt>
                <c:pt idx="1">
                  <c:v>92.28</c:v>
                </c:pt>
                <c:pt idx="2">
                  <c:v>76.849999999999994</c:v>
                </c:pt>
                <c:pt idx="3">
                  <c:v>92.2</c:v>
                </c:pt>
                <c:pt idx="4">
                  <c:v>75.25</c:v>
                </c:pt>
                <c:pt idx="5">
                  <c:v>92.275000000000006</c:v>
                </c:pt>
                <c:pt idx="6">
                  <c:v>86.149999999999991</c:v>
                </c:pt>
                <c:pt idx="7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05-4048-B0ED-D9ED3CE3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27295"/>
        <c:axId val="489858031"/>
      </c:barChart>
      <c:catAx>
        <c:axId val="9746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858031"/>
        <c:crosses val="autoZero"/>
        <c:auto val="1"/>
        <c:lblAlgn val="ctr"/>
        <c:lblOffset val="100"/>
        <c:noMultiLvlLbl val="0"/>
      </c:catAx>
      <c:valAx>
        <c:axId val="4898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4627295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Amplitude Média</a:t>
            </a:r>
            <a:r>
              <a:rPr lang="pt-BR" baseline="0"/>
              <a:t> </a:t>
            </a:r>
            <a:r>
              <a:rPr lang="pt-BR"/>
              <a:t>L1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'Comp. Amplitude'!$C$3</c:f>
              <c:strCache>
                <c:ptCount val="1"/>
                <c:pt idx="0">
                  <c:v>Controle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7897087519106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E4-49F0-89AD-B9F5E4844D3C}"/>
                </c:ext>
              </c:extLst>
            </c:dLbl>
            <c:dLbl>
              <c:idx val="1"/>
              <c:layout>
                <c:manualLayout>
                  <c:x val="-3.4542314335060447E-3"/>
                  <c:y val="2.3862783358808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E4-49F0-89AD-B9F5E4844D3C}"/>
                </c:ext>
              </c:extLst>
            </c:dLbl>
            <c:dLbl>
              <c:idx val="2"/>
              <c:layout>
                <c:manualLayout>
                  <c:x val="-1.0362694300518198E-2"/>
                  <c:y val="1.7897087519106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E4-49F0-89AD-B9F5E4844D3C}"/>
                </c:ext>
              </c:extLst>
            </c:dLbl>
            <c:dLbl>
              <c:idx val="3"/>
              <c:layout>
                <c:manualLayout>
                  <c:x val="-1.3816925734024243E-2"/>
                  <c:y val="1.7897087519106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E4-49F0-89AD-B9F5E4844D3C}"/>
                </c:ext>
              </c:extLst>
            </c:dLbl>
            <c:dLbl>
              <c:idx val="4"/>
              <c:layout>
                <c:manualLayout>
                  <c:x val="-1.0362694300518198E-2"/>
                  <c:y val="2.386278335880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E4-49F0-89AD-B9F5E4844D3C}"/>
                </c:ext>
              </c:extLst>
            </c:dLbl>
            <c:dLbl>
              <c:idx val="5"/>
              <c:layout>
                <c:manualLayout>
                  <c:x val="-1.0362694300518262E-2"/>
                  <c:y val="-5.468491347248349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E4-49F0-89AD-B9F5E4844D3C}"/>
                </c:ext>
              </c:extLst>
            </c:dLbl>
            <c:dLbl>
              <c:idx val="6"/>
              <c:layout>
                <c:manualLayout>
                  <c:x val="-1.0362694300518135E-2"/>
                  <c:y val="1.789708751910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E4-49F0-89AD-B9F5E4844D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'Comp. Amplitude'!$B$4:$B$11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Amplitude'!$C$4:$C$11</c:f>
              <c:numCache>
                <c:formatCode>0</c:formatCode>
                <c:ptCount val="8"/>
                <c:pt idx="0">
                  <c:v>98.75</c:v>
                </c:pt>
                <c:pt idx="1">
                  <c:v>119.25</c:v>
                </c:pt>
                <c:pt idx="2">
                  <c:v>50</c:v>
                </c:pt>
                <c:pt idx="3">
                  <c:v>111</c:v>
                </c:pt>
                <c:pt idx="4">
                  <c:v>146.75</c:v>
                </c:pt>
                <c:pt idx="5">
                  <c:v>77.25</c:v>
                </c:pt>
                <c:pt idx="6">
                  <c:v>94</c:v>
                </c:pt>
                <c:pt idx="7">
                  <c:v>83.25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E4-49F0-89AD-B9F5E4844D3C}"/>
            </c:ext>
          </c:extLst>
        </c:ser>
        <c:ser>
          <c:idx val="1"/>
          <c:order val="1"/>
          <c:tx>
            <c:strRef>
              <c:f>'Comp. Amplitude'!$D$3</c:f>
              <c:strCache>
                <c:ptCount val="1"/>
                <c:pt idx="0">
                  <c:v>Experimental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816925734024179E-2"/>
                  <c:y val="1.193139167940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E4-49F0-89AD-B9F5E4844D3C}"/>
                </c:ext>
              </c:extLst>
            </c:dLbl>
            <c:dLbl>
              <c:idx val="1"/>
              <c:layout>
                <c:manualLayout>
                  <c:x val="6.9084628670120895E-3"/>
                  <c:y val="1.193139167940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E4-49F0-89AD-B9F5E4844D3C}"/>
                </c:ext>
              </c:extLst>
            </c:dLbl>
            <c:dLbl>
              <c:idx val="3"/>
              <c:layout>
                <c:manualLayout>
                  <c:x val="1.0362694300518135E-2"/>
                  <c:y val="1.789708751910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2E4-49F0-89AD-B9F5E4844D3C}"/>
                </c:ext>
              </c:extLst>
            </c:dLbl>
            <c:dLbl>
              <c:idx val="4"/>
              <c:layout>
                <c:manualLayout>
                  <c:x val="1.7271157167530225E-2"/>
                  <c:y val="2.982847919851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E4-49F0-89AD-B9F5E4844D3C}"/>
                </c:ext>
              </c:extLst>
            </c:dLbl>
            <c:dLbl>
              <c:idx val="7"/>
              <c:layout>
                <c:manualLayout>
                  <c:x val="1.7271157167530225E-2"/>
                  <c:y val="2.9828479198511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E4-49F0-89AD-B9F5E4844D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'Comp. Amplitude'!$B$4:$B$11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Amplitude'!$D$4:$D$11</c:f>
              <c:numCache>
                <c:formatCode>0</c:formatCode>
                <c:ptCount val="8"/>
                <c:pt idx="0">
                  <c:v>47</c:v>
                </c:pt>
                <c:pt idx="1">
                  <c:v>42.562500000000007</c:v>
                </c:pt>
                <c:pt idx="2">
                  <c:v>94</c:v>
                </c:pt>
                <c:pt idx="3">
                  <c:v>85.125</c:v>
                </c:pt>
                <c:pt idx="4">
                  <c:v>118.625</c:v>
                </c:pt>
                <c:pt idx="5">
                  <c:v>76.375</c:v>
                </c:pt>
                <c:pt idx="6">
                  <c:v>87.75</c:v>
                </c:pt>
                <c:pt idx="7">
                  <c:v>43.874999999999993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E4-49F0-89AD-B9F5E4844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27295"/>
        <c:axId val="489858031"/>
      </c:barChart>
      <c:catAx>
        <c:axId val="9746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858031"/>
        <c:crosses val="autoZero"/>
        <c:auto val="1"/>
        <c:lblAlgn val="ctr"/>
        <c:lblOffset val="100"/>
        <c:noMultiLvlLbl val="0"/>
      </c:catAx>
      <c:valAx>
        <c:axId val="4898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462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effectLst/>
              </a:rPr>
              <a:t>Amplitude </a:t>
            </a:r>
            <a:r>
              <a: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Média L2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'Comp. Amplitude'!$E$3</c:f>
              <c:strCache>
                <c:ptCount val="1"/>
                <c:pt idx="0">
                  <c:v>Controle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CB-49B0-ACFA-CFA2B98B9677}"/>
                </c:ext>
              </c:extLst>
            </c:dLbl>
            <c:dLbl>
              <c:idx val="3"/>
              <c:layout>
                <c:manualLayout>
                  <c:x val="-1.0389613222787121E-2"/>
                  <c:y val="5.9790732436471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B-49B0-ACFA-CFA2B98B9677}"/>
                </c:ext>
              </c:extLst>
            </c:dLbl>
            <c:dLbl>
              <c:idx val="5"/>
              <c:layout>
                <c:manualLayout>
                  <c:x val="-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CB-49B0-ACFA-CFA2B98B9677}"/>
                </c:ext>
              </c:extLst>
            </c:dLbl>
            <c:dLbl>
              <c:idx val="6"/>
              <c:layout>
                <c:manualLayout>
                  <c:x val="-6.92640881519141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CB-49B0-ACFA-CFA2B98B9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Amplitude'!$B$4:$B$11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Amplitude'!$E$4:$E$11</c:f>
              <c:numCache>
                <c:formatCode>0</c:formatCode>
                <c:ptCount val="8"/>
                <c:pt idx="0">
                  <c:v>15.5</c:v>
                </c:pt>
                <c:pt idx="1">
                  <c:v>64</c:v>
                </c:pt>
                <c:pt idx="2">
                  <c:v>26.75</c:v>
                </c:pt>
                <c:pt idx="3">
                  <c:v>20.5</c:v>
                </c:pt>
                <c:pt idx="4">
                  <c:v>43.25</c:v>
                </c:pt>
                <c:pt idx="5">
                  <c:v>37.25</c:v>
                </c:pt>
                <c:pt idx="6">
                  <c:v>19.25</c:v>
                </c:pt>
                <c:pt idx="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CB-49B0-ACFA-CFA2B98B9677}"/>
            </c:ext>
          </c:extLst>
        </c:ser>
        <c:ser>
          <c:idx val="1"/>
          <c:order val="1"/>
          <c:tx>
            <c:strRef>
              <c:f>'Comp. Amplitude'!$F$3</c:f>
              <c:strCache>
                <c:ptCount val="1"/>
                <c:pt idx="0">
                  <c:v>Experimental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1.7316022037978537E-2"/>
                  <c:y val="5.9790732436471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CB-49B0-ACFA-CFA2B98B9677}"/>
                </c:ext>
              </c:extLst>
            </c:dLbl>
            <c:dLbl>
              <c:idx val="2"/>
              <c:layout>
                <c:manualLayout>
                  <c:x val="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CB-49B0-ACFA-CFA2B98B9677}"/>
                </c:ext>
              </c:extLst>
            </c:dLbl>
            <c:dLbl>
              <c:idx val="4"/>
              <c:layout>
                <c:manualLayout>
                  <c:x val="1.0389613222786994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CB-49B0-ACFA-CFA2B98B9677}"/>
                </c:ext>
              </c:extLst>
            </c:dLbl>
            <c:dLbl>
              <c:idx val="5"/>
              <c:layout>
                <c:manualLayout>
                  <c:x val="6.9264088151914146E-3"/>
                  <c:y val="1.19581464872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CB-49B0-ACFA-CFA2B98B9677}"/>
                </c:ext>
              </c:extLst>
            </c:dLbl>
            <c:dLbl>
              <c:idx val="7"/>
              <c:layout>
                <c:manualLayout>
                  <c:x val="1.0389613222786994E-2"/>
                  <c:y val="1.19581464872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CB-49B0-ACFA-CFA2B98B9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Amplitude'!$B$4:$B$11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Amplitude'!$F$4:$F$11</c:f>
              <c:numCache>
                <c:formatCode>0</c:formatCode>
                <c:ptCount val="8"/>
                <c:pt idx="0">
                  <c:v>9.25</c:v>
                </c:pt>
                <c:pt idx="1">
                  <c:v>9.6750000000000043</c:v>
                </c:pt>
                <c:pt idx="2">
                  <c:v>19.25</c:v>
                </c:pt>
                <c:pt idx="3">
                  <c:v>18.8125</c:v>
                </c:pt>
                <c:pt idx="4">
                  <c:v>27.75</c:v>
                </c:pt>
                <c:pt idx="5">
                  <c:v>19.875</c:v>
                </c:pt>
                <c:pt idx="6">
                  <c:v>16.125</c:v>
                </c:pt>
                <c:pt idx="7">
                  <c:v>9.1375000000000028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CB-49B0-ACFA-CFA2B98B9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27295"/>
        <c:axId val="489858031"/>
      </c:barChart>
      <c:catAx>
        <c:axId val="9746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858031"/>
        <c:crosses val="autoZero"/>
        <c:auto val="1"/>
        <c:lblAlgn val="ctr"/>
        <c:lblOffset val="100"/>
        <c:noMultiLvlLbl val="0"/>
      </c:catAx>
      <c:valAx>
        <c:axId val="4898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4627295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effectLst/>
              </a:rPr>
              <a:t>Amplitude </a:t>
            </a:r>
            <a:r>
              <a: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Média L3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'Comp. Amplitude'!$G$3</c:f>
              <c:strCache>
                <c:ptCount val="1"/>
                <c:pt idx="0">
                  <c:v>Controle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4632044075957073E-3"/>
                  <c:y val="5.9790732436471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2B-460F-8566-2CE3F97ADC82}"/>
                </c:ext>
              </c:extLst>
            </c:dLbl>
            <c:dLbl>
              <c:idx val="1"/>
              <c:layout>
                <c:manualLayout>
                  <c:x val="3.4632044075956752E-3"/>
                  <c:y val="2.391629297458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2B-460F-8566-2CE3F97ADC82}"/>
                </c:ext>
              </c:extLst>
            </c:dLbl>
            <c:dLbl>
              <c:idx val="2"/>
              <c:layout>
                <c:manualLayout>
                  <c:x val="-1.03896132227871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2B-460F-8566-2CE3F97ADC82}"/>
                </c:ext>
              </c:extLst>
            </c:dLbl>
            <c:dLbl>
              <c:idx val="3"/>
              <c:layout>
                <c:manualLayout>
                  <c:x val="-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2B-460F-8566-2CE3F97ADC82}"/>
                </c:ext>
              </c:extLst>
            </c:dLbl>
            <c:dLbl>
              <c:idx val="4"/>
              <c:layout>
                <c:manualLayout>
                  <c:x val="-1.0389613222787121E-2"/>
                  <c:y val="5.9790732436472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2B-460F-8566-2CE3F97ADC82}"/>
                </c:ext>
              </c:extLst>
            </c:dLbl>
            <c:dLbl>
              <c:idx val="5"/>
              <c:layout>
                <c:manualLayout>
                  <c:x val="-6.9264088151914146E-3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2B-460F-8566-2CE3F97ADC82}"/>
                </c:ext>
              </c:extLst>
            </c:dLbl>
            <c:dLbl>
              <c:idx val="6"/>
              <c:layout>
                <c:manualLayout>
                  <c:x val="-6.9264088151914146E-3"/>
                  <c:y val="1.19581464872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2B-460F-8566-2CE3F97ADC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Amplitude'!$B$4:$B$11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Amplitude'!$G$4:$G$11</c:f>
              <c:numCache>
                <c:formatCode>0</c:formatCode>
                <c:ptCount val="8"/>
                <c:pt idx="0">
                  <c:v>19.5</c:v>
                </c:pt>
                <c:pt idx="1">
                  <c:v>50</c:v>
                </c:pt>
                <c:pt idx="2">
                  <c:v>14</c:v>
                </c:pt>
                <c:pt idx="3">
                  <c:v>15</c:v>
                </c:pt>
                <c:pt idx="4">
                  <c:v>14.5</c:v>
                </c:pt>
                <c:pt idx="5">
                  <c:v>25.75</c:v>
                </c:pt>
                <c:pt idx="6">
                  <c:v>9.75</c:v>
                </c:pt>
                <c:pt idx="7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2B-460F-8566-2CE3F97ADC82}"/>
            </c:ext>
          </c:extLst>
        </c:ser>
        <c:ser>
          <c:idx val="1"/>
          <c:order val="1"/>
          <c:tx>
            <c:strRef>
              <c:f>'Comp. Amplitude'!$H$3</c:f>
              <c:strCache>
                <c:ptCount val="1"/>
                <c:pt idx="0">
                  <c:v>Experimental </c:v>
                </c:pt>
              </c:strCache>
            </c:strRef>
          </c:tx>
          <c:invertIfNegative val="0"/>
          <c:dLbls>
            <c:dLbl>
              <c:idx val="7"/>
              <c:layout>
                <c:manualLayout>
                  <c:x val="3.4632044075955802E-3"/>
                  <c:y val="1.1958146487294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2B-460F-8566-2CE3F97ADC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Amplitude'!$B$4:$B$11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Amplitude'!$H$4:$H$11</c:f>
              <c:numCache>
                <c:formatCode>0</c:formatCode>
                <c:ptCount val="8"/>
                <c:pt idx="0">
                  <c:v>5.25</c:v>
                </c:pt>
                <c:pt idx="1">
                  <c:v>9.2500000000000036</c:v>
                </c:pt>
                <c:pt idx="2">
                  <c:v>9.75</c:v>
                </c:pt>
                <c:pt idx="3">
                  <c:v>17.9375</c:v>
                </c:pt>
                <c:pt idx="4">
                  <c:v>11.75</c:v>
                </c:pt>
                <c:pt idx="5">
                  <c:v>16.375</c:v>
                </c:pt>
                <c:pt idx="6">
                  <c:v>10.5</c:v>
                </c:pt>
                <c:pt idx="7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2B-460F-8566-2CE3F97A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27295"/>
        <c:axId val="489858031"/>
      </c:barChart>
      <c:catAx>
        <c:axId val="9746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858031"/>
        <c:crosses val="autoZero"/>
        <c:auto val="1"/>
        <c:lblAlgn val="ctr"/>
        <c:lblOffset val="100"/>
        <c:noMultiLvlLbl val="0"/>
      </c:catAx>
      <c:valAx>
        <c:axId val="4898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4627295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Desvio Padrão Médio</a:t>
            </a:r>
            <a:r>
              <a:rPr lang="pt-BR" baseline="0"/>
              <a:t> </a:t>
            </a:r>
            <a:r>
              <a:rPr lang="pt-BR"/>
              <a:t>L1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'Comp. Desvio Padrão'!$C$3</c:f>
              <c:strCache>
                <c:ptCount val="1"/>
                <c:pt idx="0">
                  <c:v>Controle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7897087519106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3-46C2-B27C-88AAB92268CE}"/>
                </c:ext>
              </c:extLst>
            </c:dLbl>
            <c:dLbl>
              <c:idx val="1"/>
              <c:layout>
                <c:manualLayout>
                  <c:x val="-3.4542314335060447E-3"/>
                  <c:y val="2.3862783358808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73-46C2-B27C-88AAB92268CE}"/>
                </c:ext>
              </c:extLst>
            </c:dLbl>
            <c:dLbl>
              <c:idx val="2"/>
              <c:layout>
                <c:manualLayout>
                  <c:x val="-1.0362694300518135E-2"/>
                  <c:y val="-5.468491347248349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3-46C2-B27C-88AAB92268CE}"/>
                </c:ext>
              </c:extLst>
            </c:dLbl>
            <c:dLbl>
              <c:idx val="3"/>
              <c:layout>
                <c:manualLayout>
                  <c:x val="-1.3816925734024243E-2"/>
                  <c:y val="1.7897087519106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73-46C2-B27C-88AAB92268CE}"/>
                </c:ext>
              </c:extLst>
            </c:dLbl>
            <c:dLbl>
              <c:idx val="4"/>
              <c:layout>
                <c:manualLayout>
                  <c:x val="-1.0362694300518198E-2"/>
                  <c:y val="2.386278335880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73-46C2-B27C-88AAB92268CE}"/>
                </c:ext>
              </c:extLst>
            </c:dLbl>
            <c:dLbl>
              <c:idx val="5"/>
              <c:layout>
                <c:manualLayout>
                  <c:x val="-1.3816925734024179E-2"/>
                  <c:y val="1.193139167940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73-46C2-B27C-88AAB92268CE}"/>
                </c:ext>
              </c:extLst>
            </c:dLbl>
            <c:dLbl>
              <c:idx val="6"/>
              <c:layout>
                <c:manualLayout>
                  <c:x val="-1.0362694300518135E-2"/>
                  <c:y val="1.789708751910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73-46C2-B27C-88AAB92268CE}"/>
                </c:ext>
              </c:extLst>
            </c:dLbl>
            <c:dLbl>
              <c:idx val="7"/>
              <c:layout>
                <c:manualLayout>
                  <c:x val="2.0725388601036142E-2"/>
                  <c:y val="2.386278335880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273-46C2-B27C-88AAB9226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'Comp. Desvio Padrão'!$B$4:$B$11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Desvio Padrão'!$C$4:$C$11</c:f>
              <c:numCache>
                <c:formatCode>0.00</c:formatCode>
                <c:ptCount val="8"/>
                <c:pt idx="0">
                  <c:v>8.1457154140208026</c:v>
                </c:pt>
                <c:pt idx="1">
                  <c:v>10.086910576531178</c:v>
                </c:pt>
                <c:pt idx="2">
                  <c:v>4.1968810836593846</c:v>
                </c:pt>
                <c:pt idx="3">
                  <c:v>8.7623457507979801</c:v>
                </c:pt>
                <c:pt idx="4">
                  <c:v>12.295153397342158</c:v>
                </c:pt>
                <c:pt idx="5">
                  <c:v>6.0421789139873976</c:v>
                </c:pt>
                <c:pt idx="6">
                  <c:v>7.8099877077264823</c:v>
                </c:pt>
                <c:pt idx="7">
                  <c:v>6.8206697228557642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73-46C2-B27C-88AAB92268CE}"/>
            </c:ext>
          </c:extLst>
        </c:ser>
        <c:ser>
          <c:idx val="1"/>
          <c:order val="1"/>
          <c:tx>
            <c:strRef>
              <c:f>'Comp. Desvio Padrão'!$D$3</c:f>
              <c:strCache>
                <c:ptCount val="1"/>
                <c:pt idx="0">
                  <c:v>Experimental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816925734024179E-2"/>
                  <c:y val="1.1931391679404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273-46C2-B27C-88AAB92268CE}"/>
                </c:ext>
              </c:extLst>
            </c:dLbl>
            <c:dLbl>
              <c:idx val="1"/>
              <c:layout>
                <c:manualLayout>
                  <c:x val="1.0362694300518104E-2"/>
                  <c:y val="2.3862783358808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273-46C2-B27C-88AAB92268CE}"/>
                </c:ext>
              </c:extLst>
            </c:dLbl>
            <c:dLbl>
              <c:idx val="2"/>
              <c:layout>
                <c:manualLayout>
                  <c:x val="-2.0725388601036333E-2"/>
                  <c:y val="2.3862783358808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273-46C2-B27C-88AAB92268CE}"/>
                </c:ext>
              </c:extLst>
            </c:dLbl>
            <c:dLbl>
              <c:idx val="3"/>
              <c:layout>
                <c:manualLayout>
                  <c:x val="2.0725388601036208E-2"/>
                  <c:y val="1.789708751910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273-46C2-B27C-88AAB92268CE}"/>
                </c:ext>
              </c:extLst>
            </c:dLbl>
            <c:dLbl>
              <c:idx val="4"/>
              <c:layout>
                <c:manualLayout>
                  <c:x val="1.7271157167530225E-2"/>
                  <c:y val="2.982847919851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273-46C2-B27C-88AAB92268CE}"/>
                </c:ext>
              </c:extLst>
            </c:dLbl>
            <c:dLbl>
              <c:idx val="5"/>
              <c:layout>
                <c:manualLayout>
                  <c:x val="2.0725388601036142E-2"/>
                  <c:y val="2.9828479198511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273-46C2-B27C-88AAB92268CE}"/>
                </c:ext>
              </c:extLst>
            </c:dLbl>
            <c:dLbl>
              <c:idx val="6"/>
              <c:layout>
                <c:manualLayout>
                  <c:x val="2.0725388601036142E-2"/>
                  <c:y val="1.789708751910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73-46C2-B27C-88AAB92268CE}"/>
                </c:ext>
              </c:extLst>
            </c:dLbl>
            <c:dLbl>
              <c:idx val="7"/>
              <c:layout>
                <c:manualLayout>
                  <c:x val="1.7271157167530225E-2"/>
                  <c:y val="2.9828479198511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273-46C2-B27C-88AAB9226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'Comp. Desvio Padrão'!$B$4:$B$11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Desvio Padrão'!$D$4:$D$11</c:f>
              <c:numCache>
                <c:formatCode>0.00</c:formatCode>
                <c:ptCount val="8"/>
                <c:pt idx="0">
                  <c:v>3.8998165147898325</c:v>
                </c:pt>
                <c:pt idx="1">
                  <c:v>3.3464852634792321</c:v>
                </c:pt>
                <c:pt idx="2">
                  <c:v>7.7970123386553665</c:v>
                </c:pt>
                <c:pt idx="3">
                  <c:v>6.6929705269584616</c:v>
                </c:pt>
                <c:pt idx="4">
                  <c:v>9.9774927840175458</c:v>
                </c:pt>
                <c:pt idx="5">
                  <c:v>6.1666747128178239</c:v>
                </c:pt>
                <c:pt idx="6">
                  <c:v>7.0807524453891659</c:v>
                </c:pt>
                <c:pt idx="7">
                  <c:v>3.540376222694583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73-46C2-B27C-88AAB9226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27295"/>
        <c:axId val="489858031"/>
      </c:barChart>
      <c:catAx>
        <c:axId val="9746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858031"/>
        <c:crosses val="autoZero"/>
        <c:auto val="1"/>
        <c:lblAlgn val="ctr"/>
        <c:lblOffset val="100"/>
        <c:noMultiLvlLbl val="0"/>
      </c:catAx>
      <c:valAx>
        <c:axId val="4898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462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effectLst/>
              </a:rPr>
              <a:t>Desvio Padrão Médio </a:t>
            </a:r>
            <a:r>
              <a: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L2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'Comp. Desvio Padrão'!$E$3</c:f>
              <c:strCache>
                <c:ptCount val="1"/>
                <c:pt idx="0">
                  <c:v>Controle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-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DF-44C0-AE25-D645D623BC3D}"/>
                </c:ext>
              </c:extLst>
            </c:dLbl>
            <c:dLbl>
              <c:idx val="3"/>
              <c:layout>
                <c:manualLayout>
                  <c:x val="6.9264088151913504E-3"/>
                  <c:y val="5.48075382587407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DF-44C0-AE25-D645D623BC3D}"/>
                </c:ext>
              </c:extLst>
            </c:dLbl>
            <c:dLbl>
              <c:idx val="5"/>
              <c:layout>
                <c:manualLayout>
                  <c:x val="-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DF-44C0-AE25-D645D623BC3D}"/>
                </c:ext>
              </c:extLst>
            </c:dLbl>
            <c:dLbl>
              <c:idx val="6"/>
              <c:layout>
                <c:manualLayout>
                  <c:x val="-1.269826946969176E-16"/>
                  <c:y val="-1.7937219730941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DF-44C0-AE25-D645D623BC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Desvio Padrão'!$B$4:$B$11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Desvio Padrão'!$E$4:$E$11</c:f>
              <c:numCache>
                <c:formatCode>0.00</c:formatCode>
                <c:ptCount val="8"/>
                <c:pt idx="0">
                  <c:v>1.3097300089374551</c:v>
                </c:pt>
                <c:pt idx="1">
                  <c:v>5.1085186181465652</c:v>
                </c:pt>
                <c:pt idx="2">
                  <c:v>2.2309040991509996</c:v>
                </c:pt>
                <c:pt idx="3">
                  <c:v>1.6584873249983083</c:v>
                </c:pt>
                <c:pt idx="4">
                  <c:v>3.4743610396814253</c:v>
                </c:pt>
                <c:pt idx="5">
                  <c:v>2.9481728168920802</c:v>
                </c:pt>
                <c:pt idx="6">
                  <c:v>1.5595113597015138</c:v>
                </c:pt>
                <c:pt idx="7">
                  <c:v>1.7958925160856125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DF-44C0-AE25-D645D623BC3D}"/>
            </c:ext>
          </c:extLst>
        </c:ser>
        <c:ser>
          <c:idx val="1"/>
          <c:order val="1"/>
          <c:tx>
            <c:strRef>
              <c:f>'Comp. Desvio Padrão'!$F$3</c:f>
              <c:strCache>
                <c:ptCount val="1"/>
                <c:pt idx="0">
                  <c:v>Experimental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2.0779226445574242E-2"/>
                  <c:y val="1.7937219730941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DF-44C0-AE25-D645D623BC3D}"/>
                </c:ext>
              </c:extLst>
            </c:dLbl>
            <c:dLbl>
              <c:idx val="1"/>
              <c:layout>
                <c:manualLayout>
                  <c:x val="1.7316022037978537E-2"/>
                  <c:y val="5.9790732436471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DF-44C0-AE25-D645D623BC3D}"/>
                </c:ext>
              </c:extLst>
            </c:dLbl>
            <c:dLbl>
              <c:idx val="2"/>
              <c:layout>
                <c:manualLayout>
                  <c:x val="1.3852817630382829E-2"/>
                  <c:y val="2.391629297458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DF-44C0-AE25-D645D623BC3D}"/>
                </c:ext>
              </c:extLst>
            </c:dLbl>
            <c:dLbl>
              <c:idx val="3"/>
              <c:layout>
                <c:manualLayout>
                  <c:x val="1.73160220379786E-2"/>
                  <c:y val="3.5874439461883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DF-44C0-AE25-D645D623BC3D}"/>
                </c:ext>
              </c:extLst>
            </c:dLbl>
            <c:dLbl>
              <c:idx val="4"/>
              <c:layout>
                <c:manualLayout>
                  <c:x val="2.0779226445574117E-2"/>
                  <c:y val="2.989536621823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DF-44C0-AE25-D645D623BC3D}"/>
                </c:ext>
              </c:extLst>
            </c:dLbl>
            <c:dLbl>
              <c:idx val="5"/>
              <c:layout>
                <c:manualLayout>
                  <c:x val="1.7316022037978537E-2"/>
                  <c:y val="2.3916292974588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DF-44C0-AE25-D645D623BC3D}"/>
                </c:ext>
              </c:extLst>
            </c:dLbl>
            <c:dLbl>
              <c:idx val="6"/>
              <c:layout>
                <c:manualLayout>
                  <c:x val="1.7316022037978409E-2"/>
                  <c:y val="1.19581464872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DF-44C0-AE25-D645D623BC3D}"/>
                </c:ext>
              </c:extLst>
            </c:dLbl>
            <c:dLbl>
              <c:idx val="7"/>
              <c:layout>
                <c:manualLayout>
                  <c:x val="2.424243085316995E-2"/>
                  <c:y val="1.195814648729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DF-44C0-AE25-D645D623BC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Desvio Padrão'!$B$4:$B$11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Desvio Padrão'!$F$4:$F$11</c:f>
              <c:numCache>
                <c:formatCode>0.00</c:formatCode>
                <c:ptCount val="8"/>
                <c:pt idx="0">
                  <c:v>0.75491505003747017</c:v>
                </c:pt>
                <c:pt idx="1">
                  <c:v>0.74406597132848984</c:v>
                </c:pt>
                <c:pt idx="2">
                  <c:v>1.5610634609964844</c:v>
                </c:pt>
                <c:pt idx="3">
                  <c:v>1.4646667674492855</c:v>
                </c:pt>
                <c:pt idx="4">
                  <c:v>2.2547625590769464</c:v>
                </c:pt>
                <c:pt idx="5">
                  <c:v>1.6055967925335639</c:v>
                </c:pt>
                <c:pt idx="6">
                  <c:v>1.2364727438097294</c:v>
                </c:pt>
                <c:pt idx="7">
                  <c:v>0.72134597496546005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9DF-44C0-AE25-D645D623B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27295"/>
        <c:axId val="489858031"/>
      </c:barChart>
      <c:catAx>
        <c:axId val="9746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858031"/>
        <c:crosses val="autoZero"/>
        <c:auto val="1"/>
        <c:lblAlgn val="ctr"/>
        <c:lblOffset val="100"/>
        <c:noMultiLvlLbl val="0"/>
      </c:catAx>
      <c:valAx>
        <c:axId val="4898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4627295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0" i="0" u="none" strike="noStrike" baseline="0">
                <a:effectLst/>
              </a:rPr>
              <a:t>Desvio Padrão Médio </a:t>
            </a:r>
            <a:r>
              <a: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L3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'Comp. Desvio Padrão'!$G$3</c:f>
              <c:strCache>
                <c:ptCount val="1"/>
                <c:pt idx="0">
                  <c:v>Controle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4632044075957073E-3"/>
                  <c:y val="5.9790732436471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24-4D33-B4AF-461D32ACA789}"/>
                </c:ext>
              </c:extLst>
            </c:dLbl>
            <c:dLbl>
              <c:idx val="1"/>
              <c:layout>
                <c:manualLayout>
                  <c:x val="3.4632044075956752E-3"/>
                  <c:y val="2.391629297458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24-4D33-B4AF-461D32ACA789}"/>
                </c:ext>
              </c:extLst>
            </c:dLbl>
            <c:dLbl>
              <c:idx val="2"/>
              <c:layout>
                <c:manualLayout>
                  <c:x val="-1.038961322278718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24-4D33-B4AF-461D32ACA789}"/>
                </c:ext>
              </c:extLst>
            </c:dLbl>
            <c:dLbl>
              <c:idx val="3"/>
              <c:layout>
                <c:manualLayout>
                  <c:x val="-1.0389613222787121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24-4D33-B4AF-461D32ACA789}"/>
                </c:ext>
              </c:extLst>
            </c:dLbl>
            <c:dLbl>
              <c:idx val="4"/>
              <c:layout>
                <c:manualLayout>
                  <c:x val="-1.0389613222787185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24-4D33-B4AF-461D32ACA789}"/>
                </c:ext>
              </c:extLst>
            </c:dLbl>
            <c:dLbl>
              <c:idx val="5"/>
              <c:layout>
                <c:manualLayout>
                  <c:x val="-6.9264088151914146E-3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24-4D33-B4AF-461D32ACA789}"/>
                </c:ext>
              </c:extLst>
            </c:dLbl>
            <c:dLbl>
              <c:idx val="6"/>
              <c:layout>
                <c:manualLayout>
                  <c:x val="-1.7316022037978537E-2"/>
                  <c:y val="2.3916292974588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24-4D33-B4AF-461D32ACA789}"/>
                </c:ext>
              </c:extLst>
            </c:dLbl>
            <c:dLbl>
              <c:idx val="7"/>
              <c:layout>
                <c:manualLayout>
                  <c:x val="2.0779226445574242E-2"/>
                  <c:y val="-5.480753825874077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24-4D33-B4AF-461D32ACA7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'Comp. Desvio Padrão'!$B$4:$B$11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Desvio Padrão'!$G$4:$G$11</c:f>
              <c:numCache>
                <c:formatCode>0.00</c:formatCode>
                <c:ptCount val="8"/>
                <c:pt idx="0">
                  <c:v>1.557867893197419</c:v>
                </c:pt>
                <c:pt idx="1">
                  <c:v>4.3075153261439008</c:v>
                </c:pt>
                <c:pt idx="2">
                  <c:v>1.134471622304972</c:v>
                </c:pt>
                <c:pt idx="3">
                  <c:v>1.2892717183024152</c:v>
                </c:pt>
                <c:pt idx="4">
                  <c:v>1.2597007776431328</c:v>
                </c:pt>
                <c:pt idx="5">
                  <c:v>2.0302595112374537</c:v>
                </c:pt>
                <c:pt idx="6">
                  <c:v>0.80097635799071887</c:v>
                </c:pt>
                <c:pt idx="7">
                  <c:v>1.2622742124329611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24-4D33-B4AF-461D32ACA789}"/>
            </c:ext>
          </c:extLst>
        </c:ser>
        <c:ser>
          <c:idx val="1"/>
          <c:order val="1"/>
          <c:tx>
            <c:strRef>
              <c:f>'Comp. Desvio Padrão'!$H$3</c:f>
              <c:strCache>
                <c:ptCount val="1"/>
                <c:pt idx="0">
                  <c:v>Experimental 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7316022037978503E-2"/>
                  <c:y val="5.97907324364723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924-4D33-B4AF-461D32ACA789}"/>
                </c:ext>
              </c:extLst>
            </c:dLbl>
            <c:dLbl>
              <c:idx val="1"/>
              <c:layout>
                <c:manualLayout>
                  <c:x val="1.7316022037978503E-2"/>
                  <c:y val="1.19581464872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924-4D33-B4AF-461D32ACA789}"/>
                </c:ext>
              </c:extLst>
            </c:dLbl>
            <c:dLbl>
              <c:idx val="2"/>
              <c:layout>
                <c:manualLayout>
                  <c:x val="1.3852817630382829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924-4D33-B4AF-461D32ACA789}"/>
                </c:ext>
              </c:extLst>
            </c:dLbl>
            <c:dLbl>
              <c:idx val="3"/>
              <c:layout>
                <c:manualLayout>
                  <c:x val="6.3491347348458798E-17"/>
                  <c:y val="-2.391629297458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924-4D33-B4AF-461D32ACA789}"/>
                </c:ext>
              </c:extLst>
            </c:dLbl>
            <c:dLbl>
              <c:idx val="4"/>
              <c:layout>
                <c:manualLayout>
                  <c:x val="2.0779226445574117E-2"/>
                  <c:y val="1.7937219730941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24-4D33-B4AF-461D32ACA789}"/>
                </c:ext>
              </c:extLst>
            </c:dLbl>
            <c:dLbl>
              <c:idx val="5"/>
              <c:layout>
                <c:manualLayout>
                  <c:x val="2.077922644557424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24-4D33-B4AF-461D32ACA789}"/>
                </c:ext>
              </c:extLst>
            </c:dLbl>
            <c:dLbl>
              <c:idx val="6"/>
              <c:layout>
                <c:manualLayout>
                  <c:x val="2.07792264455741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24-4D33-B4AF-461D32ACA789}"/>
                </c:ext>
              </c:extLst>
            </c:dLbl>
            <c:dLbl>
              <c:idx val="7"/>
              <c:layout>
                <c:manualLayout>
                  <c:x val="2.0779226445574242E-2"/>
                  <c:y val="1.195814648729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24-4D33-B4AF-461D32ACA7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'Comp. Desvio Padrão'!$B$4:$B$11</c:f>
              <c:strCache>
                <c:ptCount val="8"/>
                <c:pt idx="0">
                  <c:v>C1H</c:v>
                </c:pt>
                <c:pt idx="1">
                  <c:v>C1M</c:v>
                </c:pt>
                <c:pt idx="2">
                  <c:v>C2H</c:v>
                </c:pt>
                <c:pt idx="3">
                  <c:v>C2M</c:v>
                </c:pt>
                <c:pt idx="4">
                  <c:v>C3H</c:v>
                </c:pt>
                <c:pt idx="5">
                  <c:v>C3M</c:v>
                </c:pt>
                <c:pt idx="6">
                  <c:v>C4H</c:v>
                </c:pt>
                <c:pt idx="7">
                  <c:v>C4M</c:v>
                </c:pt>
              </c:strCache>
            </c:strRef>
          </c:cat>
          <c:val>
            <c:numRef>
              <c:f>'Comp. Desvio Padrão'!$H$4:$H$11</c:f>
              <c:numCache>
                <c:formatCode>0.00</c:formatCode>
                <c:ptCount val="8"/>
                <c:pt idx="0">
                  <c:v>0.41186763852508179</c:v>
                </c:pt>
                <c:pt idx="1">
                  <c:v>0.7391866427360283</c:v>
                </c:pt>
                <c:pt idx="2">
                  <c:v>0.80097635799071887</c:v>
                </c:pt>
                <c:pt idx="3">
                  <c:v>1.423113011661806</c:v>
                </c:pt>
                <c:pt idx="4">
                  <c:v>0.98570956620278716</c:v>
                </c:pt>
                <c:pt idx="5">
                  <c:v>1.316118860421984</c:v>
                </c:pt>
                <c:pt idx="6">
                  <c:v>0.82827676279719697</c:v>
                </c:pt>
                <c:pt idx="7">
                  <c:v>0.44294357528128075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24-4D33-B4AF-461D32ACA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627295"/>
        <c:axId val="489858031"/>
      </c:barChart>
      <c:catAx>
        <c:axId val="97462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9858031"/>
        <c:crosses val="autoZero"/>
        <c:auto val="1"/>
        <c:lblAlgn val="ctr"/>
        <c:lblOffset val="100"/>
        <c:noMultiLvlLbl val="0"/>
      </c:catAx>
      <c:valAx>
        <c:axId val="48985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74627295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185737</xdr:rowOff>
    </xdr:from>
    <xdr:to>
      <xdr:col>6</xdr:col>
      <xdr:colOff>190500</xdr:colOff>
      <xdr:row>23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5783523-56D1-43C0-9F1C-1F506A994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11</xdr:row>
      <xdr:rowOff>180975</xdr:rowOff>
    </xdr:from>
    <xdr:to>
      <xdr:col>11</xdr:col>
      <xdr:colOff>533399</xdr:colOff>
      <xdr:row>23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A22EFD0-ED45-4715-868B-204863F39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542925</xdr:colOff>
      <xdr:row>11</xdr:row>
      <xdr:rowOff>180975</xdr:rowOff>
    </xdr:from>
    <xdr:to>
      <xdr:col>17</xdr:col>
      <xdr:colOff>552449</xdr:colOff>
      <xdr:row>23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46C709B-8E2A-47CF-82CE-820E4373C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185737</xdr:rowOff>
    </xdr:from>
    <xdr:to>
      <xdr:col>6</xdr:col>
      <xdr:colOff>190500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9A02C92-DFB0-4E2D-9536-F1A4E21B0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11</xdr:row>
      <xdr:rowOff>180975</xdr:rowOff>
    </xdr:from>
    <xdr:to>
      <xdr:col>11</xdr:col>
      <xdr:colOff>533399</xdr:colOff>
      <xdr:row>23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D8C9D2-4EA9-43BB-8747-1CAD53775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542925</xdr:colOff>
      <xdr:row>11</xdr:row>
      <xdr:rowOff>180975</xdr:rowOff>
    </xdr:from>
    <xdr:to>
      <xdr:col>17</xdr:col>
      <xdr:colOff>552449</xdr:colOff>
      <xdr:row>23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862BF2-898B-4D4B-8ADF-0F4352F9C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185737</xdr:rowOff>
    </xdr:from>
    <xdr:to>
      <xdr:col>6</xdr:col>
      <xdr:colOff>190500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CC6E2E-B1E1-4636-9141-B541305CEC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200025</xdr:colOff>
      <xdr:row>11</xdr:row>
      <xdr:rowOff>180975</xdr:rowOff>
    </xdr:from>
    <xdr:to>
      <xdr:col>11</xdr:col>
      <xdr:colOff>533399</xdr:colOff>
      <xdr:row>23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6D150E-2B98-4D97-9684-5AA7211F8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542925</xdr:colOff>
      <xdr:row>11</xdr:row>
      <xdr:rowOff>180975</xdr:rowOff>
    </xdr:from>
    <xdr:to>
      <xdr:col>17</xdr:col>
      <xdr:colOff>552449</xdr:colOff>
      <xdr:row>23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3F4FD8-2F15-4C56-B35B-C57C90E3E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4762</xdr:rowOff>
    </xdr:from>
    <xdr:to>
      <xdr:col>11</xdr:col>
      <xdr:colOff>600075</xdr:colOff>
      <xdr:row>14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F2356D-AEDA-4889-9339-D07F45549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7"/>
  <sheetViews>
    <sheetView topLeftCell="C34" zoomScaleNormal="100" workbookViewId="0">
      <selection activeCell="AD45" sqref="AD45"/>
    </sheetView>
  </sheetViews>
  <sheetFormatPr defaultRowHeight="12.75" x14ac:dyDescent="0.2"/>
  <cols>
    <col min="1" max="1" width="6.85546875" style="1" bestFit="1" customWidth="1"/>
    <col min="2" max="2" width="12.42578125" style="9" bestFit="1" customWidth="1"/>
    <col min="3" max="7" width="5.28515625" style="9" customWidth="1"/>
    <col min="8" max="9" width="6.5703125" style="9" bestFit="1" customWidth="1"/>
    <col min="10" max="10" width="5.5703125" style="9" bestFit="1" customWidth="1"/>
    <col min="11" max="15" width="5.28515625" style="9" customWidth="1"/>
    <col min="16" max="16" width="6.5703125" style="9" bestFit="1" customWidth="1"/>
    <col min="17" max="18" width="5.5703125" style="9" bestFit="1" customWidth="1"/>
    <col min="19" max="23" width="5.28515625" style="9" customWidth="1"/>
    <col min="24" max="24" width="6.5703125" style="9" bestFit="1" customWidth="1"/>
    <col min="25" max="26" width="5.5703125" style="9" bestFit="1" customWidth="1"/>
    <col min="27" max="27" width="6.42578125" style="93" customWidth="1"/>
    <col min="28" max="28" width="2.85546875" style="1" customWidth="1"/>
    <col min="29" max="29" width="5" style="9" customWidth="1"/>
    <col min="30" max="16384" width="9.140625" style="1"/>
  </cols>
  <sheetData>
    <row r="1" spans="1:31" ht="13.5" thickBot="1" x14ac:dyDescent="0.25">
      <c r="A1" s="335" t="s">
        <v>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7"/>
      <c r="S1" s="337"/>
      <c r="T1" s="337"/>
      <c r="U1" s="337"/>
      <c r="V1" s="337"/>
      <c r="W1" s="337"/>
      <c r="X1" s="337"/>
      <c r="Y1" s="337"/>
      <c r="Z1" s="337"/>
      <c r="AA1" s="338"/>
    </row>
    <row r="2" spans="1:31" ht="12.75" customHeight="1" thickBot="1" x14ac:dyDescent="0.25">
      <c r="A2" s="336" t="s">
        <v>120</v>
      </c>
      <c r="B2" s="336"/>
      <c r="C2" s="336"/>
      <c r="D2" s="336"/>
      <c r="E2" s="336"/>
      <c r="F2" s="336"/>
      <c r="G2" s="345" t="s">
        <v>2</v>
      </c>
      <c r="H2" s="346"/>
      <c r="I2" s="346"/>
      <c r="J2" s="346"/>
      <c r="K2" s="343" t="s">
        <v>3</v>
      </c>
      <c r="L2" s="343"/>
      <c r="M2" s="344"/>
      <c r="N2" s="335" t="s">
        <v>18</v>
      </c>
      <c r="O2" s="336"/>
      <c r="P2" s="330" t="s">
        <v>1</v>
      </c>
      <c r="Q2" s="331"/>
      <c r="R2" s="341" t="s">
        <v>119</v>
      </c>
      <c r="S2" s="342"/>
      <c r="T2" s="339" t="s">
        <v>16</v>
      </c>
      <c r="U2" s="339"/>
      <c r="V2" s="339" t="s">
        <v>61</v>
      </c>
      <c r="W2" s="339"/>
      <c r="X2" s="339" t="s">
        <v>62</v>
      </c>
      <c r="Y2" s="339"/>
      <c r="Z2" s="339" t="s">
        <v>17</v>
      </c>
      <c r="AA2" s="340"/>
      <c r="AC2" s="307" t="s">
        <v>132</v>
      </c>
    </row>
    <row r="3" spans="1:31" ht="15.75" customHeight="1" thickBot="1" x14ac:dyDescent="0.25">
      <c r="A3" s="321" t="s">
        <v>7</v>
      </c>
      <c r="B3" s="321" t="s">
        <v>4</v>
      </c>
      <c r="C3" s="332" t="s">
        <v>88</v>
      </c>
      <c r="D3" s="333"/>
      <c r="E3" s="333"/>
      <c r="F3" s="333"/>
      <c r="G3" s="333"/>
      <c r="H3" s="333"/>
      <c r="I3" s="333"/>
      <c r="J3" s="334"/>
      <c r="K3" s="313" t="s">
        <v>89</v>
      </c>
      <c r="L3" s="314"/>
      <c r="M3" s="314"/>
      <c r="N3" s="314"/>
      <c r="O3" s="314"/>
      <c r="P3" s="314"/>
      <c r="Q3" s="314"/>
      <c r="R3" s="315"/>
      <c r="S3" s="313" t="s">
        <v>90</v>
      </c>
      <c r="T3" s="314"/>
      <c r="U3" s="314"/>
      <c r="V3" s="314"/>
      <c r="W3" s="314"/>
      <c r="X3" s="314"/>
      <c r="Y3" s="314"/>
      <c r="Z3" s="315"/>
      <c r="AA3" s="319" t="s">
        <v>5</v>
      </c>
      <c r="AC3" s="308"/>
    </row>
    <row r="4" spans="1:31" ht="13.5" thickBot="1" x14ac:dyDescent="0.25">
      <c r="A4" s="322"/>
      <c r="B4" s="322"/>
      <c r="C4" s="75" t="s">
        <v>91</v>
      </c>
      <c r="D4" s="76" t="s">
        <v>92</v>
      </c>
      <c r="E4" s="76" t="s">
        <v>93</v>
      </c>
      <c r="F4" s="76" t="s">
        <v>94</v>
      </c>
      <c r="G4" s="77" t="s">
        <v>95</v>
      </c>
      <c r="H4" s="71" t="s">
        <v>138</v>
      </c>
      <c r="I4" s="72" t="s">
        <v>109</v>
      </c>
      <c r="J4" s="73" t="s">
        <v>110</v>
      </c>
      <c r="K4" s="156" t="s">
        <v>91</v>
      </c>
      <c r="L4" s="127" t="s">
        <v>92</v>
      </c>
      <c r="M4" s="127" t="s">
        <v>93</v>
      </c>
      <c r="N4" s="127" t="s">
        <v>94</v>
      </c>
      <c r="O4" s="157" t="s">
        <v>95</v>
      </c>
      <c r="P4" s="88" t="s">
        <v>138</v>
      </c>
      <c r="Q4" s="89" t="s">
        <v>109</v>
      </c>
      <c r="R4" s="57" t="s">
        <v>110</v>
      </c>
      <c r="S4" s="75" t="s">
        <v>91</v>
      </c>
      <c r="T4" s="76" t="s">
        <v>92</v>
      </c>
      <c r="U4" s="76" t="s">
        <v>93</v>
      </c>
      <c r="V4" s="76" t="s">
        <v>94</v>
      </c>
      <c r="W4" s="77" t="s">
        <v>95</v>
      </c>
      <c r="X4" s="88" t="s">
        <v>138</v>
      </c>
      <c r="Y4" s="89" t="s">
        <v>109</v>
      </c>
      <c r="Z4" s="57" t="s">
        <v>110</v>
      </c>
      <c r="AA4" s="320"/>
      <c r="AC4" s="308"/>
    </row>
    <row r="5" spans="1:31" x14ac:dyDescent="0.2">
      <c r="A5" s="323" t="s">
        <v>8</v>
      </c>
      <c r="B5" s="11" t="s">
        <v>21</v>
      </c>
      <c r="C5" s="2">
        <f>4*60+6</f>
        <v>246</v>
      </c>
      <c r="D5" s="6">
        <v>133</v>
      </c>
      <c r="E5" s="6">
        <v>111</v>
      </c>
      <c r="F5" s="6">
        <v>110</v>
      </c>
      <c r="G5" s="67">
        <v>98</v>
      </c>
      <c r="H5" s="85">
        <f>IF(B5="","",AVERAGE(C5:G5))</f>
        <v>139.6</v>
      </c>
      <c r="I5" s="81">
        <f>(LARGE(C5:G5,1))-(SMALL(C5:G5,1))</f>
        <v>148</v>
      </c>
      <c r="J5" s="150">
        <f>SQRT(((((C5-$H5)^2)+((D5-H5)^2)+((E5-H5)^2)+((F5-H5)^2)+((G5-H5)^2))/4))</f>
        <v>60.805427389337538</v>
      </c>
      <c r="K5" s="44">
        <v>97</v>
      </c>
      <c r="L5" s="28">
        <v>126</v>
      </c>
      <c r="M5" s="158">
        <v>100</v>
      </c>
      <c r="N5" s="59">
        <v>105</v>
      </c>
      <c r="O5" s="159">
        <v>107</v>
      </c>
      <c r="P5" s="153">
        <f>IF(B5="","",AVERAGE(K5:O5))</f>
        <v>107</v>
      </c>
      <c r="Q5" s="81">
        <f>(LARGE(K5:O5,1))-(SMALL(K5:O5,1))</f>
        <v>29</v>
      </c>
      <c r="R5" s="82">
        <f>SQRT(((((K5-$P5)^2)+((L5-$P5)^2)+((M5-$P5)^2)+((N5-$P5)^2)+((O5-$P5)^2))/4))</f>
        <v>11.335784048754634</v>
      </c>
      <c r="S5" s="2">
        <v>94</v>
      </c>
      <c r="T5" s="6">
        <v>91</v>
      </c>
      <c r="U5" s="6">
        <v>98</v>
      </c>
      <c r="V5" s="6">
        <v>95</v>
      </c>
      <c r="W5" s="6">
        <v>83</v>
      </c>
      <c r="X5" s="85">
        <f>IF(B5="","",AVERAGE(S5:W5))</f>
        <v>92.2</v>
      </c>
      <c r="Y5" s="81">
        <f>(LARGE(S5:W5,1))-(SMALL(S5:W5,1))</f>
        <v>15</v>
      </c>
      <c r="Z5" s="82">
        <f>SQRT(((((S5-$X5)^2)+((T5-$X5)^2)+((U5-$X5)^2)+((V5-$X5)^2)+((W5-$X5)^2))/4))</f>
        <v>5.7183913821983188</v>
      </c>
      <c r="AA5" s="109">
        <f>IF(B5="","",AVERAGE(C5:G5,K5:O5,S5:W5))</f>
        <v>112.93333333333334</v>
      </c>
      <c r="AC5" s="147">
        <v>2</v>
      </c>
    </row>
    <row r="6" spans="1:31" x14ac:dyDescent="0.2">
      <c r="A6" s="324"/>
      <c r="B6" s="23" t="s">
        <v>22</v>
      </c>
      <c r="C6" s="50">
        <f>3*60+9</f>
        <v>189</v>
      </c>
      <c r="D6" s="25">
        <v>102</v>
      </c>
      <c r="E6" s="25">
        <v>88</v>
      </c>
      <c r="F6" s="25">
        <v>84</v>
      </c>
      <c r="G6" s="68">
        <v>92</v>
      </c>
      <c r="H6" s="86">
        <f>IF(B6="","",AVERAGE(C6:G6))</f>
        <v>111</v>
      </c>
      <c r="I6" s="74">
        <f>(LARGE(C6:G6,1))-(SMALL(C6:G6,1))</f>
        <v>105</v>
      </c>
      <c r="J6" s="151">
        <f>SQRT(((((C6-$H6)^2)+((D6-H6)^2)+((E6-H6)^2)+((F6-H6)^2)+((G6-H6)^2))/4))</f>
        <v>44.113490000225553</v>
      </c>
      <c r="K6" s="7">
        <v>88</v>
      </c>
      <c r="L6" s="58">
        <v>89</v>
      </c>
      <c r="M6" s="58">
        <v>75</v>
      </c>
      <c r="N6" s="58">
        <v>78</v>
      </c>
      <c r="O6" s="160">
        <v>82</v>
      </c>
      <c r="P6" s="154">
        <f>IF(B6="","",AVERAGE(K6:O6))</f>
        <v>82.4</v>
      </c>
      <c r="Q6" s="74">
        <f>(LARGE(K6:O6,1))-(SMALL(K6:O6,1))</f>
        <v>14</v>
      </c>
      <c r="R6" s="83">
        <f>SQRT(((((K6-$P6)^2)+((L6-$P6)^2)+((M6-$P6)^2)+((N6-$P6)^2)+((O6-$P6)^2))/4))</f>
        <v>6.1073725938409877</v>
      </c>
      <c r="S6" s="7">
        <v>70</v>
      </c>
      <c r="T6" s="8">
        <v>65</v>
      </c>
      <c r="U6" s="26">
        <v>101</v>
      </c>
      <c r="V6" s="8">
        <v>64</v>
      </c>
      <c r="W6" s="8">
        <v>70</v>
      </c>
      <c r="X6" s="86">
        <f>IF(B6="","",AVERAGE(S6:W6))</f>
        <v>74</v>
      </c>
      <c r="Y6" s="74">
        <f>(LARGE(S6:W6,1))-(SMALL(S6:W6,1))</f>
        <v>37</v>
      </c>
      <c r="Z6" s="83">
        <f>SQRT(((((S6-$X6)^2)+((T6-$X6)^2)+((U6-$X6)^2)+((V6-$X6)^2)+((W6-$X6)^2))/4))</f>
        <v>15.346009253222807</v>
      </c>
      <c r="AA6" s="110">
        <f>IF(B6="","",AVERAGE(C6:G6,K6:O6,S6:W6))</f>
        <v>89.13333333333334</v>
      </c>
      <c r="AC6" s="147">
        <v>1</v>
      </c>
    </row>
    <row r="7" spans="1:31" x14ac:dyDescent="0.2">
      <c r="A7" s="324"/>
      <c r="B7" s="23" t="s">
        <v>23</v>
      </c>
      <c r="C7" s="14">
        <v>142</v>
      </c>
      <c r="D7" s="8">
        <v>79</v>
      </c>
      <c r="E7" s="26">
        <v>108</v>
      </c>
      <c r="F7" s="8">
        <v>78</v>
      </c>
      <c r="G7" s="69">
        <v>77</v>
      </c>
      <c r="H7" s="86">
        <f>IF(B7="","",AVERAGE(C7:G7))</f>
        <v>96.8</v>
      </c>
      <c r="I7" s="74">
        <f>(LARGE(C7:G7,1))-(SMALL(C7:G7,1))</f>
        <v>65</v>
      </c>
      <c r="J7" s="151">
        <f>SQRT(((((C7-$H7)^2)+((D7-H7)^2)+((E7-H7)^2)+((F7-H7)^2)+((G7-H7)^2))/4))</f>
        <v>28.420063335608525</v>
      </c>
      <c r="K7" s="161">
        <v>73</v>
      </c>
      <c r="L7" s="58">
        <v>63</v>
      </c>
      <c r="M7" s="58">
        <v>70</v>
      </c>
      <c r="N7" s="58">
        <v>62</v>
      </c>
      <c r="O7" s="160">
        <v>63</v>
      </c>
      <c r="P7" s="154">
        <f>IF(B7="","",AVERAGE(K7:O7))</f>
        <v>66.2</v>
      </c>
      <c r="Q7" s="74">
        <f>(LARGE(K7:O7,1))-(SMALL(K7:O7,1))</f>
        <v>11</v>
      </c>
      <c r="R7" s="83">
        <f>SQRT(((((K7-$P7)^2)+((L7-$P7)^2)+((M7-$P7)^2)+((N7-$P7)^2)+((O7-$P7)^2))/4))</f>
        <v>4.9699094559156709</v>
      </c>
      <c r="S7" s="26">
        <v>80</v>
      </c>
      <c r="T7" s="8">
        <v>73</v>
      </c>
      <c r="U7" s="26">
        <v>77</v>
      </c>
      <c r="V7" s="8">
        <v>63</v>
      </c>
      <c r="W7" s="8">
        <v>73</v>
      </c>
      <c r="X7" s="86">
        <f>IF(B7="","",AVERAGE(S7:W7))</f>
        <v>73.2</v>
      </c>
      <c r="Y7" s="74">
        <f>(LARGE(S7:W7,1))-(SMALL(S7:W7,1))</f>
        <v>17</v>
      </c>
      <c r="Z7" s="83">
        <f>SQRT(((((S7-$X7)^2)+((T7-$X7)^2)+((U7-$X7)^2)+((V7-$X7)^2)+((W7-$X7)^2))/4))</f>
        <v>6.4187226143524843</v>
      </c>
      <c r="AA7" s="110">
        <f>IF(B7="","",AVERAGE(C7:G7,K7:O7,S7:W7))</f>
        <v>78.733333333333334</v>
      </c>
      <c r="AC7" s="147">
        <v>4</v>
      </c>
      <c r="AD7" s="1">
        <v>10</v>
      </c>
      <c r="AE7" s="1">
        <v>2</v>
      </c>
    </row>
    <row r="8" spans="1:31" ht="13.5" thickBot="1" x14ac:dyDescent="0.25">
      <c r="A8" s="324"/>
      <c r="B8" s="24" t="s">
        <v>24</v>
      </c>
      <c r="C8" s="52">
        <v>148</v>
      </c>
      <c r="D8" s="42">
        <v>117</v>
      </c>
      <c r="E8" s="10">
        <v>88</v>
      </c>
      <c r="F8" s="10">
        <v>71</v>
      </c>
      <c r="G8" s="70">
        <v>97</v>
      </c>
      <c r="H8" s="87">
        <f>IF(B8="","",AVERAGE(C8:G8))</f>
        <v>104.2</v>
      </c>
      <c r="I8" s="80">
        <f>(LARGE(C8:G8,1))-(SMALL(C8:G8,1))</f>
        <v>77</v>
      </c>
      <c r="J8" s="152">
        <f>SQRT(((((C8-$H8)^2)+((D8-H8)^2)+((E8-H8)^2)+((F8-H8)^2)+((G8-H8)^2))/4))</f>
        <v>29.575327555244424</v>
      </c>
      <c r="K8" s="162">
        <v>74</v>
      </c>
      <c r="L8" s="61">
        <v>67</v>
      </c>
      <c r="M8" s="62">
        <v>66</v>
      </c>
      <c r="N8" s="134">
        <v>73</v>
      </c>
      <c r="O8" s="65">
        <v>67</v>
      </c>
      <c r="P8" s="155">
        <f>IF(B8="","",AVERAGE(K8:O8))</f>
        <v>69.400000000000006</v>
      </c>
      <c r="Q8" s="80">
        <f>(LARGE(K8:O8,1))-(SMALL(K8:O8,1))</f>
        <v>8</v>
      </c>
      <c r="R8" s="84">
        <f>SQRT(((((K8-$P8)^2)+((L8-$P8)^2)+((M8-$P8)^2)+((N8-$P8)^2)+((O8-$P8)^2))/4))</f>
        <v>3.7815340802378072</v>
      </c>
      <c r="S8" s="7">
        <v>70</v>
      </c>
      <c r="T8" s="8">
        <v>67</v>
      </c>
      <c r="U8" s="8">
        <v>61</v>
      </c>
      <c r="V8" s="25">
        <v>65</v>
      </c>
      <c r="W8" s="8">
        <v>62</v>
      </c>
      <c r="X8" s="87">
        <f>IF(B8="","",AVERAGE(S8:W8))</f>
        <v>65</v>
      </c>
      <c r="Y8" s="80">
        <f>(LARGE(S8:W8,1))-(SMALL(S8:W8,1))</f>
        <v>9</v>
      </c>
      <c r="Z8" s="84">
        <f>SQRT(((((S8-$X8)^2)+((T8-$X8)^2)+((U8-$X8)^2)+((V8-$X8)^2)+((W8-$X8)^2))/4))</f>
        <v>3.6742346141747673</v>
      </c>
      <c r="AA8" s="111">
        <f>IF(B8="","",AVERAGE(C8:G8,K8:O8,S8:W8))</f>
        <v>79.533333333333331</v>
      </c>
      <c r="AC8" s="147">
        <v>5</v>
      </c>
      <c r="AD8" s="1">
        <v>10</v>
      </c>
      <c r="AE8" s="1">
        <v>3</v>
      </c>
    </row>
    <row r="9" spans="1:31" ht="13.5" thickBot="1" x14ac:dyDescent="0.25">
      <c r="A9" s="325"/>
      <c r="B9" s="3" t="s">
        <v>6</v>
      </c>
      <c r="C9" s="115">
        <f>IF(C5="","",AVERAGE(C5:C8))</f>
        <v>181.25</v>
      </c>
      <c r="D9" s="116">
        <f t="shared" ref="D9:G9" si="0">IF(D5="","",AVERAGE(D5:D8))</f>
        <v>107.75</v>
      </c>
      <c r="E9" s="116">
        <f t="shared" si="0"/>
        <v>98.75</v>
      </c>
      <c r="F9" s="116">
        <f t="shared" si="0"/>
        <v>85.75</v>
      </c>
      <c r="G9" s="117">
        <f t="shared" si="0"/>
        <v>91</v>
      </c>
      <c r="H9" s="118">
        <f>(SUM(H5:H8))/4</f>
        <v>112.89999999999999</v>
      </c>
      <c r="I9" s="119">
        <f>AVERAGE(I5:I8)</f>
        <v>98.75</v>
      </c>
      <c r="J9" s="120">
        <f>(SUM(J5:J8))/20</f>
        <v>8.1457154140208026</v>
      </c>
      <c r="K9" s="126">
        <f>IF(K5="","",AVERAGE(K5:K8))</f>
        <v>83</v>
      </c>
      <c r="L9" s="127">
        <f>IF(L5="","",AVERAGE(L5:L8))</f>
        <v>86.25</v>
      </c>
      <c r="M9" s="127">
        <f t="shared" ref="M9" si="1">IF(M5="","",AVERAGE(M5:M8))</f>
        <v>77.75</v>
      </c>
      <c r="N9" s="127">
        <f t="shared" ref="N9" si="2">IF(N5="","",AVERAGE(N5:N8))</f>
        <v>79.5</v>
      </c>
      <c r="O9" s="128">
        <f>IF(O5="","",AVERAGE(O5:O8))</f>
        <v>79.75</v>
      </c>
      <c r="P9" s="118">
        <f>(SUM(P5:P8))/4</f>
        <v>81.25</v>
      </c>
      <c r="Q9" s="119">
        <f>AVERAGE(Q5:Q8)</f>
        <v>15.5</v>
      </c>
      <c r="R9" s="120">
        <f>(SUM(R5:R8))/20</f>
        <v>1.3097300089374551</v>
      </c>
      <c r="S9" s="115">
        <f>IF(S5="","",AVERAGE(S5:S8))</f>
        <v>78.5</v>
      </c>
      <c r="T9" s="116">
        <f>IF(T5="","",AVERAGE(T5:T8))</f>
        <v>74</v>
      </c>
      <c r="U9" s="116">
        <f t="shared" ref="U9" si="3">IF(U5="","",AVERAGE(U5:U8))</f>
        <v>84.25</v>
      </c>
      <c r="V9" s="116">
        <f t="shared" ref="V9" si="4">IF(V5="","",AVERAGE(V5:V8))</f>
        <v>71.75</v>
      </c>
      <c r="W9" s="121">
        <f>IF(W5="","",AVERAGE(W5:W8))</f>
        <v>72</v>
      </c>
      <c r="X9" s="118">
        <f>(SUM(X5:X8))/4</f>
        <v>76.099999999999994</v>
      </c>
      <c r="Y9" s="119">
        <f>AVERAGE(Y5:Y8)</f>
        <v>19.5</v>
      </c>
      <c r="Z9" s="120">
        <f>(SUM(Z5:Z8))/20</f>
        <v>1.557867893197419</v>
      </c>
      <c r="AA9" s="122">
        <f>(H9+P9+X9)/3</f>
        <v>90.083333333333329</v>
      </c>
      <c r="AC9" s="148">
        <f>SUM(AC5:AC8)</f>
        <v>12</v>
      </c>
    </row>
    <row r="10" spans="1:31" x14ac:dyDescent="0.2">
      <c r="A10" s="323" t="s">
        <v>9</v>
      </c>
      <c r="B10" s="11" t="s">
        <v>25</v>
      </c>
      <c r="C10" s="27">
        <f>4*60+37</f>
        <v>277</v>
      </c>
      <c r="D10" s="28">
        <v>153</v>
      </c>
      <c r="E10" s="28">
        <f>3*60+50</f>
        <v>230</v>
      </c>
      <c r="F10" s="19">
        <f>2*60+16</f>
        <v>136</v>
      </c>
      <c r="G10" s="28">
        <v>135</v>
      </c>
      <c r="H10" s="85">
        <f>IF(B10="","",AVERAGE(C10:G10))</f>
        <v>186.2</v>
      </c>
      <c r="I10" s="81">
        <f>(LARGE(C10:G10,1))-(SMALL(C10:G10,1))</f>
        <v>142</v>
      </c>
      <c r="J10" s="82">
        <f>SQRT(((((C10-$H10)^2)+((D10-H10)^2)+((E10-H10)^2)+((F10-H10)^2)+((G10-H10)^2))/4))</f>
        <v>64.04451576833101</v>
      </c>
      <c r="K10" s="28">
        <f>2*60+28</f>
        <v>148</v>
      </c>
      <c r="L10" s="28">
        <f>4*60+8</f>
        <v>248</v>
      </c>
      <c r="M10" s="19">
        <f>2*60+32</f>
        <v>152</v>
      </c>
      <c r="N10" s="28">
        <f>2*60+19</f>
        <v>139</v>
      </c>
      <c r="O10" s="29">
        <f>60+55</f>
        <v>115</v>
      </c>
      <c r="P10" s="85">
        <f>IF(B10="","",AVERAGE(K10:O10))</f>
        <v>160.4</v>
      </c>
      <c r="Q10" s="81">
        <f>(LARGE(K10:O10,1))-(SMALL(K10:O10,1))</f>
        <v>133</v>
      </c>
      <c r="R10" s="82">
        <f>SQRT(((((K10-$P10)^2)+((L10-$P10)^2)+((M10-$P10)^2)+((N10-$P10)^2)+((O10-$P10)^2))/4))</f>
        <v>51.032342685790944</v>
      </c>
      <c r="S10" s="19">
        <f>60+59</f>
        <v>119</v>
      </c>
      <c r="T10" s="19">
        <v>130</v>
      </c>
      <c r="U10" s="19">
        <v>103</v>
      </c>
      <c r="V10" s="28">
        <v>139</v>
      </c>
      <c r="W10" s="19">
        <v>100</v>
      </c>
      <c r="X10" s="85">
        <f>IF(B10="","",AVERAGE(S10:W10))</f>
        <v>118.2</v>
      </c>
      <c r="Y10" s="81">
        <f>(LARGE(S10:W10,1))-(SMALL(S10:W10,1))</f>
        <v>39</v>
      </c>
      <c r="Z10" s="82">
        <f>SQRT(((((S10-$X10)^2)+((T10-$X10)^2)+((U10-$X10)^2)+((V10-$X10)^2)+((W10-$X10)^2))/4))</f>
        <v>16.84339633209407</v>
      </c>
      <c r="AA10" s="112">
        <f>IF(B10="","",AVERAGE(C10:G10,K10:O10,S10:W10))</f>
        <v>154.93333333333334</v>
      </c>
      <c r="AC10" s="147">
        <v>7</v>
      </c>
      <c r="AD10" s="1">
        <v>6</v>
      </c>
      <c r="AE10" s="1">
        <v>1</v>
      </c>
    </row>
    <row r="11" spans="1:31" x14ac:dyDescent="0.2">
      <c r="A11" s="324"/>
      <c r="B11" s="23" t="s">
        <v>26</v>
      </c>
      <c r="C11" s="14">
        <f>3*60+19</f>
        <v>199</v>
      </c>
      <c r="D11" s="26">
        <v>150</v>
      </c>
      <c r="E11" s="25">
        <f>3*60+25</f>
        <v>205</v>
      </c>
      <c r="F11" s="26">
        <v>142</v>
      </c>
      <c r="G11" s="18">
        <v>101</v>
      </c>
      <c r="H11" s="86">
        <f>IF(B11="","",AVERAGE(C11:G11))</f>
        <v>159.4</v>
      </c>
      <c r="I11" s="74">
        <f>(LARGE(C11:G11,1))-(SMALL(C11:G11,1))</f>
        <v>104</v>
      </c>
      <c r="J11" s="83">
        <f>SQRT(((((C11-$H11)^2)+((D11-H11)^2)+((E11-H11)^2)+((F11-H11)^2)+((G11-H11)^2))/4))</f>
        <v>43.15437405408634</v>
      </c>
      <c r="K11" s="18">
        <v>96</v>
      </c>
      <c r="L11" s="26">
        <v>155</v>
      </c>
      <c r="M11" s="18">
        <v>112</v>
      </c>
      <c r="N11" s="26">
        <v>121</v>
      </c>
      <c r="O11" s="18">
        <v>110</v>
      </c>
      <c r="P11" s="86">
        <f>IF(B11="","",AVERAGE(K11:O11))</f>
        <v>118.8</v>
      </c>
      <c r="Q11" s="74">
        <f>(LARGE(K11:O11,1))-(SMALL(K11:O11,1))</f>
        <v>59</v>
      </c>
      <c r="R11" s="83">
        <f>SQRT(((((K11-$P11)^2)+((L11-$P11)^2)+((M11-$P11)^2)+((N11-$P11)^2)+((O11-$P11)^2))/4))</f>
        <v>22.129166274399044</v>
      </c>
      <c r="S11" s="25">
        <f>3*60+10</f>
        <v>190</v>
      </c>
      <c r="T11" s="18">
        <v>83</v>
      </c>
      <c r="U11" s="18">
        <v>76</v>
      </c>
      <c r="V11" s="18">
        <v>77</v>
      </c>
      <c r="W11" s="18">
        <v>77</v>
      </c>
      <c r="X11" s="86">
        <f>IF(B11="","",AVERAGE(S11:W11))</f>
        <v>100.6</v>
      </c>
      <c r="Y11" s="74">
        <f>(LARGE(S11:W11,1))-(SMALL(S11:W11,1))</f>
        <v>114</v>
      </c>
      <c r="Z11" s="83">
        <f>SQRT(((((S11-$X11)^2)+((T11-$X11)^2)+((U11-$X11)^2)+((V11-$X11)^2)+((W11-$X11)^2))/4))</f>
        <v>50.052971939736004</v>
      </c>
      <c r="AA11" s="113">
        <f>IF(B11="","",AVERAGE(C11:G11,K11:O11,S11:W11))</f>
        <v>126.26666666666667</v>
      </c>
      <c r="AC11" s="147">
        <v>5</v>
      </c>
    </row>
    <row r="12" spans="1:31" x14ac:dyDescent="0.2">
      <c r="A12" s="324"/>
      <c r="B12" s="23" t="s">
        <v>27</v>
      </c>
      <c r="C12" s="43">
        <f>60*3+47</f>
        <v>227</v>
      </c>
      <c r="D12" s="10">
        <v>130</v>
      </c>
      <c r="E12" s="10">
        <v>117</v>
      </c>
      <c r="F12" s="10">
        <v>134</v>
      </c>
      <c r="G12" s="10">
        <v>145</v>
      </c>
      <c r="H12" s="86">
        <f>IF(B12="","",AVERAGE(C12:G12))</f>
        <v>150.6</v>
      </c>
      <c r="I12" s="74">
        <f>(LARGE(C12:G12,1))-(SMALL(C12:G12,1))</f>
        <v>110</v>
      </c>
      <c r="J12" s="83">
        <f>SQRT(((((C12-$H12)^2)+((D12-H12)^2)+((E12-H12)^2)+((F12-H12)^2)+((G12-H12)^2))/4))</f>
        <v>43.866843971272878</v>
      </c>
      <c r="K12" s="16">
        <v>113</v>
      </c>
      <c r="L12" s="10">
        <v>141</v>
      </c>
      <c r="M12" s="10">
        <v>144</v>
      </c>
      <c r="N12" s="18">
        <v>113</v>
      </c>
      <c r="O12" s="18">
        <v>105</v>
      </c>
      <c r="P12" s="86">
        <f>IF(B12="","",AVERAGE(K12:O12))</f>
        <v>123.2</v>
      </c>
      <c r="Q12" s="74">
        <f>(LARGE(K12:O12,1))-(SMALL(K12:O12,1))</f>
        <v>39</v>
      </c>
      <c r="R12" s="83">
        <f>SQRT(((((K12-$P12)^2)+((L12-$P12)^2)+((M12-$P12)^2)+((N12-$P12)^2)+((O12-$P12)^2))/4))</f>
        <v>17.949930361981909</v>
      </c>
      <c r="S12" s="18">
        <v>100</v>
      </c>
      <c r="T12" s="18">
        <v>107</v>
      </c>
      <c r="U12" s="18">
        <v>109</v>
      </c>
      <c r="V12" s="18">
        <v>79</v>
      </c>
      <c r="W12" s="10">
        <v>113</v>
      </c>
      <c r="X12" s="86">
        <f>IF(B12="","",AVERAGE(S12:W12))</f>
        <v>101.6</v>
      </c>
      <c r="Y12" s="74">
        <f>(LARGE(S12:W12,1))-(SMALL(S12:W12,1))</f>
        <v>34</v>
      </c>
      <c r="Z12" s="83">
        <f>SQRT(((((S12-$X12)^2)+((T12-$X12)^2)+((U12-$X12)^2)+((V12-$X12)^2)+((W12-$X12)^2))/4))</f>
        <v>13.48332303254654</v>
      </c>
      <c r="AA12" s="113">
        <f>IF(B12="","",AVERAGE(C12:G12,K12:O12,S12:W12))</f>
        <v>125.13333333333334</v>
      </c>
      <c r="AC12" s="147">
        <v>8</v>
      </c>
      <c r="AD12" s="1">
        <v>10</v>
      </c>
      <c r="AE12" s="1">
        <v>3</v>
      </c>
    </row>
    <row r="13" spans="1:31" ht="13.5" thickBot="1" x14ac:dyDescent="0.25">
      <c r="A13" s="324"/>
      <c r="B13" s="23" t="s">
        <v>28</v>
      </c>
      <c r="C13" s="136">
        <f>3*60+24</f>
        <v>204</v>
      </c>
      <c r="D13" s="134">
        <v>102</v>
      </c>
      <c r="E13" s="134">
        <v>89</v>
      </c>
      <c r="F13" s="61">
        <v>83</v>
      </c>
      <c r="G13" s="137">
        <v>93</v>
      </c>
      <c r="H13" s="87">
        <f>IF(B13="","",AVERAGE(C13:G13))</f>
        <v>114.2</v>
      </c>
      <c r="I13" s="80">
        <f>(LARGE(C13:G13,1))-(SMALL(C13:G13,1))</f>
        <v>121</v>
      </c>
      <c r="J13" s="84">
        <f>SQRT(((((C13-$H13)^2)+((D13-H13)^2)+((E13-H13)^2)+((F13-H13)^2)+((G13-H13)^2))/4))</f>
        <v>50.672477736933295</v>
      </c>
      <c r="K13" s="16">
        <v>100</v>
      </c>
      <c r="L13" s="17">
        <v>75</v>
      </c>
      <c r="M13" s="17">
        <v>76</v>
      </c>
      <c r="N13" s="134">
        <v>94</v>
      </c>
      <c r="O13" s="135">
        <v>83</v>
      </c>
      <c r="P13" s="87">
        <f>IF(B13="","",AVERAGE(K13:O13))</f>
        <v>85.6</v>
      </c>
      <c r="Q13" s="80">
        <f>(LARGE(K13:O13,1))-(SMALL(K13:O13,1))</f>
        <v>25</v>
      </c>
      <c r="R13" s="84">
        <f>SQRT(((((K13-$P13)^2)+((L13-$P13)^2)+((M13-$P13)^2)+((N13-$P13)^2)+((O13-$P13)^2))/4))</f>
        <v>11.058933040759403</v>
      </c>
      <c r="S13" s="17">
        <v>75</v>
      </c>
      <c r="T13" s="17">
        <v>66</v>
      </c>
      <c r="U13" s="134">
        <v>78</v>
      </c>
      <c r="V13" s="17">
        <v>65</v>
      </c>
      <c r="W13" s="17">
        <v>68</v>
      </c>
      <c r="X13" s="87">
        <f>IF(B13="","",AVERAGE(S13:W13))</f>
        <v>70.400000000000006</v>
      </c>
      <c r="Y13" s="80">
        <f>(LARGE(S13:W13,1))-(SMALL(S13:W13,1))</f>
        <v>13</v>
      </c>
      <c r="Z13" s="84">
        <f>SQRT(((((S13-$X13)^2)+((T13-$X13)^2)+((U13-$X13)^2)+((V13-$X13)^2)+((W13-$X13)^2))/4))</f>
        <v>5.770615218501403</v>
      </c>
      <c r="AA13" s="113">
        <f>IF(B13="","",AVERAGE(C13:G13,K13:O13,S13:W13))</f>
        <v>90.066666666666663</v>
      </c>
      <c r="AC13" s="147">
        <v>6</v>
      </c>
      <c r="AD13" s="1">
        <v>10</v>
      </c>
      <c r="AE13" s="1">
        <v>3</v>
      </c>
    </row>
    <row r="14" spans="1:31" ht="13.5" thickBot="1" x14ac:dyDescent="0.25">
      <c r="A14" s="325"/>
      <c r="B14" s="3" t="s">
        <v>6</v>
      </c>
      <c r="C14" s="123">
        <f>IF(C10="","",AVERAGE(C10:C13))</f>
        <v>226.75</v>
      </c>
      <c r="D14" s="76">
        <f t="shared" ref="D14" si="5">IF(D10="","",AVERAGE(D10:D13))</f>
        <v>133.75</v>
      </c>
      <c r="E14" s="76">
        <f t="shared" ref="E14" si="6">IF(E10="","",AVERAGE(E10:E13))</f>
        <v>160.25</v>
      </c>
      <c r="F14" s="76">
        <f t="shared" ref="F14" si="7">IF(F10="","",AVERAGE(F10:F13))</f>
        <v>123.75</v>
      </c>
      <c r="G14" s="124">
        <f t="shared" ref="G14" si="8">IF(G10="","",AVERAGE(G10:G13))</f>
        <v>118.5</v>
      </c>
      <c r="H14" s="118">
        <f>(SUM(H10:H13))/4</f>
        <v>152.60000000000002</v>
      </c>
      <c r="I14" s="119">
        <f>AVERAGE(I10:I13)</f>
        <v>119.25</v>
      </c>
      <c r="J14" s="120">
        <f>(SUM(J10:J13))/20</f>
        <v>10.086910576531178</v>
      </c>
      <c r="K14" s="123">
        <f>IF(K10="","",AVERAGE(K10:K13))</f>
        <v>114.25</v>
      </c>
      <c r="L14" s="76">
        <f>IF(L10="","",AVERAGE(L10:L13))</f>
        <v>154.75</v>
      </c>
      <c r="M14" s="76">
        <f t="shared" ref="M14" si="9">IF(M10="","",AVERAGE(M10:M13))</f>
        <v>121</v>
      </c>
      <c r="N14" s="76">
        <f t="shared" ref="N14" si="10">IF(N10="","",AVERAGE(N10:N13))</f>
        <v>116.75</v>
      </c>
      <c r="O14" s="124">
        <f>IF(O10="","",AVERAGE(O10:O13))</f>
        <v>103.25</v>
      </c>
      <c r="P14" s="118">
        <f>(SUM(P10:P13))/4</f>
        <v>122</v>
      </c>
      <c r="Q14" s="119">
        <f>AVERAGE(Q10:Q13)</f>
        <v>64</v>
      </c>
      <c r="R14" s="120">
        <f>(SUM(R10:R13))/20</f>
        <v>5.1085186181465652</v>
      </c>
      <c r="S14" s="123">
        <f>IF(S10="","",AVERAGE(S10:S13))</f>
        <v>121</v>
      </c>
      <c r="T14" s="76">
        <f>IF(T10="","",AVERAGE(T10:T13))</f>
        <v>96.5</v>
      </c>
      <c r="U14" s="76">
        <f t="shared" ref="U14" si="11">IF(U10="","",AVERAGE(U10:U13))</f>
        <v>91.5</v>
      </c>
      <c r="V14" s="76">
        <f t="shared" ref="V14" si="12">IF(V10="","",AVERAGE(V10:V13))</f>
        <v>90</v>
      </c>
      <c r="W14" s="124">
        <f>IF(W10="","",AVERAGE(W10:W13))</f>
        <v>89.5</v>
      </c>
      <c r="X14" s="118">
        <f>(SUM(X10:X13))/4</f>
        <v>97.699999999999989</v>
      </c>
      <c r="Y14" s="119">
        <f>AVERAGE(Y10:Y13)</f>
        <v>50</v>
      </c>
      <c r="Z14" s="120">
        <f>(SUM(Z10:Z13))/20</f>
        <v>4.3075153261439008</v>
      </c>
      <c r="AA14" s="122">
        <f>(H14+P14+X14)/3</f>
        <v>124.10000000000001</v>
      </c>
      <c r="AC14" s="148">
        <f>SUM(AC10:AC13)</f>
        <v>26</v>
      </c>
    </row>
    <row r="15" spans="1:31" x14ac:dyDescent="0.2">
      <c r="A15" s="316" t="s">
        <v>10</v>
      </c>
      <c r="B15" s="11" t="s">
        <v>20</v>
      </c>
      <c r="C15" s="21">
        <v>110</v>
      </c>
      <c r="D15" s="28">
        <v>120</v>
      </c>
      <c r="E15" s="22">
        <v>94</v>
      </c>
      <c r="F15" s="28">
        <v>107</v>
      </c>
      <c r="G15" s="22">
        <v>88</v>
      </c>
      <c r="H15" s="85">
        <f>IF(B15="","",AVERAGE(C15:G15))</f>
        <v>103.8</v>
      </c>
      <c r="I15" s="81">
        <f>(LARGE(C15:G15,1))-(SMALL(C15:G15,1))</f>
        <v>32</v>
      </c>
      <c r="J15" s="82">
        <f>SQRT(((((C15-$H15)^2)+((D15-H15)^2)+((E15-H15)^2)+((F15-H15)^2)+((G15-H15)^2))/4))</f>
        <v>12.814054783713077</v>
      </c>
      <c r="K15" s="14">
        <v>94</v>
      </c>
      <c r="L15" s="13">
        <v>88</v>
      </c>
      <c r="M15" s="8">
        <v>86</v>
      </c>
      <c r="N15" s="16">
        <v>90</v>
      </c>
      <c r="O15" s="15">
        <v>110</v>
      </c>
      <c r="P15" s="85">
        <f>IF(B15="","",AVERAGE(K15:O15))</f>
        <v>93.6</v>
      </c>
      <c r="Q15" s="81">
        <f>(LARGE(K15:O15,1))-(SMALL(K15:O15,1))</f>
        <v>24</v>
      </c>
      <c r="R15" s="82">
        <f>SQRT(((((K15-$P15)^2)+((L15-$P15)^2)+((M15-$P15)^2)+((N15-$P15)^2)+((O15-$P15)^2))/4))</f>
        <v>9.633275663033837</v>
      </c>
      <c r="S15" s="7">
        <v>94</v>
      </c>
      <c r="T15" s="8">
        <v>89</v>
      </c>
      <c r="U15" s="8">
        <v>90</v>
      </c>
      <c r="V15" s="8">
        <v>88</v>
      </c>
      <c r="W15" s="8">
        <v>90</v>
      </c>
      <c r="X15" s="85">
        <f>IF(B15="","",AVERAGE(S15:W15))</f>
        <v>90.2</v>
      </c>
      <c r="Y15" s="81">
        <f>(LARGE(S15:W15,1))-(SMALL(S15:W15,1))</f>
        <v>6</v>
      </c>
      <c r="Z15" s="82">
        <f>SQRT(((((S15-$X15)^2)+((T15-$X15)^2)+((U15-$X15)^2)+((V15-$X15)^2)+((W15-$X15)^2))/4))</f>
        <v>2.2803508501982761</v>
      </c>
      <c r="AA15" s="114">
        <f>IF(B15="","",AVERAGE(C15:G15,K15:O15,S15:W15))</f>
        <v>95.86666666666666</v>
      </c>
      <c r="AB15" s="9"/>
      <c r="AC15" s="147">
        <v>3</v>
      </c>
      <c r="AD15" s="1">
        <v>7</v>
      </c>
      <c r="AE15" s="1">
        <v>1</v>
      </c>
    </row>
    <row r="16" spans="1:31" x14ac:dyDescent="0.2">
      <c r="A16" s="317"/>
      <c r="B16" s="23" t="s">
        <v>29</v>
      </c>
      <c r="C16" s="43">
        <v>113</v>
      </c>
      <c r="D16" s="10">
        <v>89</v>
      </c>
      <c r="E16" s="25">
        <v>116</v>
      </c>
      <c r="F16" s="20">
        <v>88</v>
      </c>
      <c r="G16" s="20">
        <v>82</v>
      </c>
      <c r="H16" s="86">
        <f>IF(B16="","",AVERAGE(C16:G16))</f>
        <v>97.6</v>
      </c>
      <c r="I16" s="74">
        <f>(LARGE(C16:G16,1))-(SMALL(C16:G16,1))</f>
        <v>34</v>
      </c>
      <c r="J16" s="83">
        <f>SQRT(((((C16-$H16)^2)+((D16-H16)^2)+((E16-H16)^2)+((F16-H16)^2)+((G16-H16)^2))/4))</f>
        <v>15.693947878083449</v>
      </c>
      <c r="K16" s="16">
        <v>84</v>
      </c>
      <c r="L16" s="8">
        <v>90</v>
      </c>
      <c r="M16" s="10">
        <v>112</v>
      </c>
      <c r="N16" s="42">
        <v>92</v>
      </c>
      <c r="O16" s="8">
        <v>90</v>
      </c>
      <c r="P16" s="86">
        <f>IF(B16="","",AVERAGE(K16:O16))</f>
        <v>93.6</v>
      </c>
      <c r="Q16" s="74">
        <f>(LARGE(K16:O16,1))-(SMALL(K16:O16,1))</f>
        <v>28</v>
      </c>
      <c r="R16" s="83">
        <f>SQRT(((((K16-$P16)^2)+((L16-$P16)^2)+((M16-$P16)^2)+((N16-$P16)^2)+((O16-$P16)^2))/4))</f>
        <v>10.714476188783099</v>
      </c>
      <c r="S16" s="7">
        <v>90</v>
      </c>
      <c r="T16" s="10">
        <v>103</v>
      </c>
      <c r="U16" s="8">
        <v>88</v>
      </c>
      <c r="V16" s="8">
        <v>90</v>
      </c>
      <c r="W16" s="8">
        <v>93</v>
      </c>
      <c r="X16" s="86">
        <f>IF(B16="","",AVERAGE(S16:W16))</f>
        <v>92.8</v>
      </c>
      <c r="Y16" s="74">
        <f>(LARGE(S16:W16,1))-(SMALL(S16:W16,1))</f>
        <v>15</v>
      </c>
      <c r="Z16" s="83">
        <f>SQRT(((((S16-$X16)^2)+((T16-$X16)^2)+((U16-$X16)^2)+((V16-$X16)^2)+((W16-$X16)^2))/4))</f>
        <v>5.9749476985158623</v>
      </c>
      <c r="AA16" s="110">
        <f>IF(B16="","",AVERAGE(C16:G16,K16:O16,S16:W16))</f>
        <v>94.666666666666671</v>
      </c>
      <c r="AC16" s="147">
        <v>4</v>
      </c>
      <c r="AD16" s="1">
        <v>10</v>
      </c>
      <c r="AE16" s="1">
        <v>3</v>
      </c>
    </row>
    <row r="17" spans="1:31" x14ac:dyDescent="0.2">
      <c r="A17" s="317"/>
      <c r="B17" s="23" t="s">
        <v>30</v>
      </c>
      <c r="C17" s="43">
        <v>120</v>
      </c>
      <c r="D17" s="10">
        <v>105</v>
      </c>
      <c r="E17" s="20">
        <v>75</v>
      </c>
      <c r="F17" s="10">
        <v>80</v>
      </c>
      <c r="G17" s="25">
        <v>79</v>
      </c>
      <c r="H17" s="86">
        <f>IF(B17="","",AVERAGE(C17:G17))</f>
        <v>91.8</v>
      </c>
      <c r="I17" s="74">
        <f>(LARGE(C17:G17,1))-(SMALL(C17:G17,1))</f>
        <v>45</v>
      </c>
      <c r="J17" s="83">
        <f>SQRT(((((C17-$H17)^2)+((D17-H17)^2)+((E17-H17)^2)+((F17-H17)^2)+((G17-H17)^2))/4))</f>
        <v>19.715476154534034</v>
      </c>
      <c r="K17" s="16">
        <v>68</v>
      </c>
      <c r="L17" s="8">
        <v>66</v>
      </c>
      <c r="M17" s="8">
        <v>62</v>
      </c>
      <c r="N17" s="8">
        <v>63</v>
      </c>
      <c r="O17" s="25">
        <v>82</v>
      </c>
      <c r="P17" s="86">
        <f>IF(B17="","",AVERAGE(K17:O17))</f>
        <v>68.2</v>
      </c>
      <c r="Q17" s="74">
        <f>(LARGE(K17:O17,1))-(SMALL(K17:O17,1))</f>
        <v>20</v>
      </c>
      <c r="R17" s="83">
        <f>SQRT(((((K17-$P17)^2)+((L17-$P17)^2)+((M17-$P17)^2)+((N17-$P17)^2)+((O17-$P17)^2))/4))</f>
        <v>8.0746516952745395</v>
      </c>
      <c r="S17" s="7">
        <v>70</v>
      </c>
      <c r="T17" s="8">
        <v>60</v>
      </c>
      <c r="U17" s="8">
        <v>59</v>
      </c>
      <c r="V17" s="10">
        <v>73</v>
      </c>
      <c r="W17" s="8">
        <v>58</v>
      </c>
      <c r="X17" s="86">
        <f>IF(B17="","",AVERAGE(S17:W17))</f>
        <v>64</v>
      </c>
      <c r="Y17" s="74">
        <f>(LARGE(S17:W17,1))-(SMALL(S17:W17,1))</f>
        <v>15</v>
      </c>
      <c r="Z17" s="83">
        <f>SQRT(((((S17-$X17)^2)+((T17-$X17)^2)+((U17-$X17)^2)+((V17-$X17)^2)+((W17-$X17)^2))/4))</f>
        <v>6.9641941385920596</v>
      </c>
      <c r="AA17" s="110">
        <f>IF(B17="","",AVERAGE(C17:G17,K17:O17,S17:W17))</f>
        <v>74.666666666666671</v>
      </c>
      <c r="AC17" s="147">
        <v>4</v>
      </c>
      <c r="AD17" s="1">
        <v>10</v>
      </c>
      <c r="AE17" s="1">
        <v>2</v>
      </c>
    </row>
    <row r="18" spans="1:31" ht="13.5" thickBot="1" x14ac:dyDescent="0.25">
      <c r="A18" s="317"/>
      <c r="B18" s="23" t="s">
        <v>31</v>
      </c>
      <c r="C18" s="43">
        <v>173</v>
      </c>
      <c r="D18" s="10">
        <v>113</v>
      </c>
      <c r="E18" s="10">
        <v>84</v>
      </c>
      <c r="F18" s="10">
        <v>107</v>
      </c>
      <c r="G18" s="10">
        <v>88</v>
      </c>
      <c r="H18" s="87">
        <f>IF(B18="","",AVERAGE(C18:G18))</f>
        <v>113</v>
      </c>
      <c r="I18" s="80">
        <f>(LARGE(C18:G18,1))-(SMALL(C18:G18,1))</f>
        <v>89</v>
      </c>
      <c r="J18" s="84">
        <f>SQRT(((((C18-$H18)^2)+((D18-H18)^2)+((E18-H18)^2)+((F18-H18)^2)+((G18-H18)^2))/4))</f>
        <v>35.714142856857144</v>
      </c>
      <c r="K18" s="10">
        <v>98</v>
      </c>
      <c r="L18" s="25">
        <v>100</v>
      </c>
      <c r="M18" s="25">
        <v>72</v>
      </c>
      <c r="N18" s="8">
        <v>65</v>
      </c>
      <c r="O18" s="8">
        <v>73</v>
      </c>
      <c r="P18" s="87">
        <f>IF(B18="","",AVERAGE(K18:O18))</f>
        <v>81.599999999999994</v>
      </c>
      <c r="Q18" s="80">
        <f>(LARGE(K18:O18,1))-(SMALL(K18:O18,1))</f>
        <v>35</v>
      </c>
      <c r="R18" s="84">
        <f>SQRT(((((K18-$P18)^2)+((L18-$P18)^2)+((M18-$P18)^2)+((N18-$P18)^2)+((O18-$P18)^2))/4))</f>
        <v>16.195678435928517</v>
      </c>
      <c r="S18" s="7">
        <v>81</v>
      </c>
      <c r="T18" s="8">
        <v>90</v>
      </c>
      <c r="U18" s="8">
        <v>70</v>
      </c>
      <c r="V18" s="8">
        <v>76</v>
      </c>
      <c r="W18" s="8">
        <v>76</v>
      </c>
      <c r="X18" s="87">
        <f>IF(B18="","",AVERAGE(S18:W18))</f>
        <v>78.599999999999994</v>
      </c>
      <c r="Y18" s="80">
        <f>(LARGE(S18:W18,1))-(SMALL(S18:W18,1))</f>
        <v>20</v>
      </c>
      <c r="Z18" s="84">
        <f>SQRT(((((S18-$X18)^2)+((T18-$X18)^2)+((U18-$X18)^2)+((V18-$X18)^2)+((W18-$X18)^2))/4))</f>
        <v>7.469939758793239</v>
      </c>
      <c r="AA18" s="110">
        <f>IF(B18="","",AVERAGE(C18:G18,K18:O18,S18:W18))</f>
        <v>91.066666666666663</v>
      </c>
      <c r="AC18" s="147">
        <v>6</v>
      </c>
    </row>
    <row r="19" spans="1:31" ht="13.5" thickBot="1" x14ac:dyDescent="0.25">
      <c r="A19" s="318"/>
      <c r="B19" s="3" t="s">
        <v>6</v>
      </c>
      <c r="C19" s="125">
        <f>IF(C15="","",AVERAGE(C15:C18))</f>
        <v>129</v>
      </c>
      <c r="D19" s="78">
        <f t="shared" ref="D19" si="13">IF(D15="","",AVERAGE(D15:D18))</f>
        <v>106.75</v>
      </c>
      <c r="E19" s="78">
        <f t="shared" ref="E19" si="14">IF(E15="","",AVERAGE(E15:E18))</f>
        <v>92.25</v>
      </c>
      <c r="F19" s="78">
        <f t="shared" ref="F19" si="15">IF(F15="","",AVERAGE(F15:F18))</f>
        <v>95.5</v>
      </c>
      <c r="G19" s="79">
        <f t="shared" ref="G19" si="16">IF(G15="","",AVERAGE(G15:G18))</f>
        <v>84.25</v>
      </c>
      <c r="H19" s="118">
        <f>(SUM(H15:H18))/4</f>
        <v>101.55</v>
      </c>
      <c r="I19" s="119">
        <f>AVERAGE(I15:I18)</f>
        <v>50</v>
      </c>
      <c r="J19" s="120">
        <f>(SUM(J15:J18))/20</f>
        <v>4.1968810836593846</v>
      </c>
      <c r="K19" s="125">
        <f>IF(K15="","",AVERAGE(K15:K18))</f>
        <v>86</v>
      </c>
      <c r="L19" s="78">
        <f>IF(L15="","",AVERAGE(L15:L18))</f>
        <v>86</v>
      </c>
      <c r="M19" s="78">
        <f t="shared" ref="M19" si="17">IF(M15="","",AVERAGE(M15:M18))</f>
        <v>83</v>
      </c>
      <c r="N19" s="78">
        <f t="shared" ref="N19" si="18">IF(N15="","",AVERAGE(N15:N18))</f>
        <v>77.5</v>
      </c>
      <c r="O19" s="79">
        <f>IF(O15="","",AVERAGE(O15:O18))</f>
        <v>88.75</v>
      </c>
      <c r="P19" s="118">
        <f>(SUM(P15:P18))/4</f>
        <v>84.25</v>
      </c>
      <c r="Q19" s="119">
        <f>AVERAGE(Q15:Q18)</f>
        <v>26.75</v>
      </c>
      <c r="R19" s="120">
        <f>(SUM(R15:R18))/20</f>
        <v>2.2309040991509996</v>
      </c>
      <c r="S19" s="125">
        <f>IF(S15="","",AVERAGE(S15:S18))</f>
        <v>83.75</v>
      </c>
      <c r="T19" s="78">
        <f>IF(T15="","",AVERAGE(T15:T18))</f>
        <v>85.5</v>
      </c>
      <c r="U19" s="78">
        <f>IF(U15="","",AVERAGE(U15:U18))</f>
        <v>76.75</v>
      </c>
      <c r="V19" s="78">
        <f t="shared" ref="V19" si="19">IF(V15="","",AVERAGE(V15:V18))</f>
        <v>81.75</v>
      </c>
      <c r="W19" s="79">
        <f>IF(W15="","",AVERAGE(W15:W18))</f>
        <v>79.25</v>
      </c>
      <c r="X19" s="118">
        <f>(SUM(X15:X18))/4</f>
        <v>81.400000000000006</v>
      </c>
      <c r="Y19" s="119">
        <f>AVERAGE(Y15:Y18)</f>
        <v>14</v>
      </c>
      <c r="Z19" s="120">
        <f>(SUM(Z15:Z18))/20</f>
        <v>1.134471622304972</v>
      </c>
      <c r="AA19" s="122">
        <f>(H19+P19+X19)/3</f>
        <v>89.066666666666677</v>
      </c>
      <c r="AC19" s="148">
        <f>SUM(AC15:AC18)</f>
        <v>17</v>
      </c>
    </row>
    <row r="20" spans="1:31" x14ac:dyDescent="0.2">
      <c r="A20" s="316" t="s">
        <v>11</v>
      </c>
      <c r="B20" s="11" t="s">
        <v>32</v>
      </c>
      <c r="C20" s="14">
        <f>4*60+7</f>
        <v>247</v>
      </c>
      <c r="D20" s="26">
        <v>194</v>
      </c>
      <c r="E20" s="26">
        <f>2*60+25</f>
        <v>145</v>
      </c>
      <c r="F20" s="6">
        <v>114</v>
      </c>
      <c r="G20" s="15">
        <v>290</v>
      </c>
      <c r="H20" s="85">
        <f>IF(B20="","",AVERAGE(C20:G20))</f>
        <v>198</v>
      </c>
      <c r="I20" s="81">
        <f>(LARGE(C20:G20,1))-(SMALL(C20:G20,1))</f>
        <v>176</v>
      </c>
      <c r="J20" s="82">
        <f>SQRT(((((C20-$H20)^2)+((D20-H20)^2)+((E20-H20)^2)+((F20-H20)^2)+((G20-H20)^2))/4))</f>
        <v>72.017359018503313</v>
      </c>
      <c r="K20" s="16">
        <v>124</v>
      </c>
      <c r="L20" s="8">
        <v>101</v>
      </c>
      <c r="M20" s="8">
        <v>86</v>
      </c>
      <c r="N20" s="8">
        <v>94</v>
      </c>
      <c r="O20" s="10">
        <v>106</v>
      </c>
      <c r="P20" s="85">
        <f>IF(B20="","",AVERAGE(K20:O20))</f>
        <v>102.2</v>
      </c>
      <c r="Q20" s="81">
        <f>(LARGE(K20:O20,1))-(SMALL(K20:O20,1))</f>
        <v>38</v>
      </c>
      <c r="R20" s="82">
        <f>SQRT(((((K20-$P20)^2)+((L20-$P20)^2)+((M20-$P20)^2)+((N20-$P20)^2)+((O20-$P20)^2))/4))</f>
        <v>14.324803663575986</v>
      </c>
      <c r="S20" s="7">
        <v>104</v>
      </c>
      <c r="T20" s="8">
        <v>98</v>
      </c>
      <c r="U20" s="8">
        <v>90</v>
      </c>
      <c r="V20" s="8">
        <v>92</v>
      </c>
      <c r="W20" s="8">
        <v>90</v>
      </c>
      <c r="X20" s="85">
        <f>IF(B20="","",AVERAGE(S20:W20))</f>
        <v>94.8</v>
      </c>
      <c r="Y20" s="81">
        <f>(LARGE(S20:W20,1))-(SMALL(S20:W20,1))</f>
        <v>14</v>
      </c>
      <c r="Z20" s="82">
        <f>SQRT(((((S20-$X20)^2)+((T20-$X20)^2)+((U20-$X20)^2)+((V20-$X20)^2)+((W20-$X20)^2))/4))</f>
        <v>6.0991802727907629</v>
      </c>
      <c r="AA20" s="114">
        <f>IF(B20="","",AVERAGE(C20:G20,K20:O20,S20:W20))</f>
        <v>131.66666666666666</v>
      </c>
      <c r="AC20" s="147">
        <v>4</v>
      </c>
      <c r="AD20" s="1">
        <v>10</v>
      </c>
      <c r="AE20" s="1">
        <v>1</v>
      </c>
    </row>
    <row r="21" spans="1:31" x14ac:dyDescent="0.2">
      <c r="A21" s="317"/>
      <c r="B21" s="23" t="s">
        <v>33</v>
      </c>
      <c r="C21" s="14">
        <f>3*60+18</f>
        <v>198</v>
      </c>
      <c r="D21" s="26">
        <v>149</v>
      </c>
      <c r="E21" s="25">
        <v>119</v>
      </c>
      <c r="F21" s="10">
        <v>105</v>
      </c>
      <c r="G21" s="10">
        <v>77</v>
      </c>
      <c r="H21" s="86">
        <f>IF(B21="","",AVERAGE(C21:G21))</f>
        <v>129.6</v>
      </c>
      <c r="I21" s="74">
        <f>(LARGE(C21:G21,1))-(SMALL(C21:G21,1))</f>
        <v>121</v>
      </c>
      <c r="J21" s="83">
        <f>SQRT(((((C21-$H21)^2)+((D21-H21)^2)+((E21-H21)^2)+((F21-H21)^2)+((G21-H21)^2))/4))</f>
        <v>46.203895939628296</v>
      </c>
      <c r="K21" s="43">
        <v>68</v>
      </c>
      <c r="L21" s="8">
        <v>66</v>
      </c>
      <c r="M21" s="8">
        <v>62</v>
      </c>
      <c r="N21" s="25">
        <v>63</v>
      </c>
      <c r="O21" s="10">
        <v>82</v>
      </c>
      <c r="P21" s="86">
        <f>IF(B21="","",AVERAGE(K21:O21))</f>
        <v>68.2</v>
      </c>
      <c r="Q21" s="74">
        <f>(LARGE(K21:O21,1))-(SMALL(K21:O21,1))</f>
        <v>20</v>
      </c>
      <c r="R21" s="83">
        <f>SQRT(((((K21-$P21)^2)+((L21-$P21)^2)+((M21-$P21)^2)+((N21-$P21)^2)+((O21-$P21)^2))/4))</f>
        <v>8.0746516952745395</v>
      </c>
      <c r="S21" s="10">
        <v>98</v>
      </c>
      <c r="T21" s="16">
        <v>81</v>
      </c>
      <c r="U21" s="8">
        <v>80</v>
      </c>
      <c r="V21" s="10">
        <v>93</v>
      </c>
      <c r="W21" s="8">
        <v>84</v>
      </c>
      <c r="X21" s="86">
        <f>IF(B21="","",AVERAGE(S21:W21))</f>
        <v>87.2</v>
      </c>
      <c r="Y21" s="74">
        <f>(LARGE(S21:W21,1))-(SMALL(S21:W21,1))</f>
        <v>18</v>
      </c>
      <c r="Z21" s="83">
        <f>SQRT(((((S21-$X21)^2)+((T21-$X21)^2)+((U21-$X21)^2)+((V21-$X21)^2)+((W21-$X21)^2))/4))</f>
        <v>7.9183331579316611</v>
      </c>
      <c r="AA21" s="110">
        <f>IF(B21="","",AVERAGE(C21:G21,K21:O21,S21:W21))</f>
        <v>95</v>
      </c>
      <c r="AC21" s="147">
        <v>8</v>
      </c>
      <c r="AD21" s="1">
        <v>4</v>
      </c>
      <c r="AE21" s="1">
        <v>1</v>
      </c>
    </row>
    <row r="22" spans="1:31" x14ac:dyDescent="0.2">
      <c r="A22" s="317"/>
      <c r="B22" s="23" t="s">
        <v>34</v>
      </c>
      <c r="C22" s="14">
        <v>138</v>
      </c>
      <c r="D22" s="26">
        <v>92</v>
      </c>
      <c r="E22" s="10">
        <v>99</v>
      </c>
      <c r="F22" s="25">
        <v>86</v>
      </c>
      <c r="G22" s="8">
        <v>83</v>
      </c>
      <c r="H22" s="86">
        <f>IF(B22="","",AVERAGE(C22:G22))</f>
        <v>99.6</v>
      </c>
      <c r="I22" s="74">
        <f>(LARGE(C22:G22,1))-(SMALL(C22:G22,1))</f>
        <v>55</v>
      </c>
      <c r="J22" s="83">
        <f>SQRT(((((C22-$H22)^2)+((D22-H22)^2)+((E22-H22)^2)+((F22-H22)^2)+((G22-H22)^2))/4))</f>
        <v>22.322634253152113</v>
      </c>
      <c r="K22" s="7">
        <v>80</v>
      </c>
      <c r="L22" s="8">
        <v>74</v>
      </c>
      <c r="M22" s="8">
        <v>81</v>
      </c>
      <c r="N22" s="8">
        <v>72</v>
      </c>
      <c r="O22" s="8">
        <v>74</v>
      </c>
      <c r="P22" s="86">
        <f>IF(B22="","",AVERAGE(K22:O22))</f>
        <v>76.2</v>
      </c>
      <c r="Q22" s="74">
        <f>(LARGE(K22:O22,1))-(SMALL(K22:O22,1))</f>
        <v>9</v>
      </c>
      <c r="R22" s="83">
        <f>SQRT(((((K22-$P22)^2)+((L22-$P22)^2)+((M22-$P22)^2)+((N22-$P22)^2)+((O22-$P22)^2))/4))</f>
        <v>4.0249223594996222</v>
      </c>
      <c r="S22" s="16">
        <v>84</v>
      </c>
      <c r="T22" s="8">
        <v>73</v>
      </c>
      <c r="U22" s="8">
        <v>73</v>
      </c>
      <c r="V22" s="10">
        <v>82</v>
      </c>
      <c r="W22" s="10">
        <v>87</v>
      </c>
      <c r="X22" s="86">
        <f>IF(B22="","",AVERAGE(S22:W22))</f>
        <v>79.8</v>
      </c>
      <c r="Y22" s="74">
        <f>(LARGE(S22:W22,1))-(SMALL(S22:W22,1))</f>
        <v>14</v>
      </c>
      <c r="Z22" s="83">
        <f>SQRT(((((S22-$X22)^2)+((T22-$X22)^2)+((U22-$X22)^2)+((V22-$X22)^2)+((W22-$X22)^2))/4))</f>
        <v>6.4575537163851759</v>
      </c>
      <c r="AA22" s="110">
        <f>IF(B22="","",AVERAGE(C22:G22,K22:O22,S22:W22))</f>
        <v>85.2</v>
      </c>
      <c r="AC22" s="147">
        <v>5</v>
      </c>
      <c r="AD22" s="1">
        <v>5</v>
      </c>
      <c r="AE22" s="1">
        <v>2</v>
      </c>
    </row>
    <row r="23" spans="1:31" ht="13.5" thickBot="1" x14ac:dyDescent="0.25">
      <c r="A23" s="317"/>
      <c r="B23" s="23" t="s">
        <v>35</v>
      </c>
      <c r="C23" s="43">
        <v>194</v>
      </c>
      <c r="D23" s="10">
        <v>145</v>
      </c>
      <c r="E23" s="10">
        <v>121</v>
      </c>
      <c r="F23" s="10">
        <v>102</v>
      </c>
      <c r="G23" s="25">
        <v>150</v>
      </c>
      <c r="H23" s="87">
        <f>IF(B23="","",AVERAGE(C23:G23))</f>
        <v>142.4</v>
      </c>
      <c r="I23" s="80">
        <f>(LARGE(C23:G23,1))-(SMALL(C23:G23,1))</f>
        <v>92</v>
      </c>
      <c r="J23" s="84">
        <f>SQRT(((((C23-$H23)^2)+((D23-H23)^2)+((E23-H23)^2)+((F23-H23)^2)+((G23-H23)^2))/4))</f>
        <v>34.703025804675882</v>
      </c>
      <c r="K23" s="7">
        <v>91</v>
      </c>
      <c r="L23" s="8">
        <v>80</v>
      </c>
      <c r="M23" s="8">
        <v>76</v>
      </c>
      <c r="N23" s="16">
        <v>76</v>
      </c>
      <c r="O23" s="25">
        <v>87</v>
      </c>
      <c r="P23" s="87">
        <f>IF(B23="","",AVERAGE(K23:O23))</f>
        <v>82</v>
      </c>
      <c r="Q23" s="80">
        <f>(LARGE(K23:O23,1))-(SMALL(K23:O23,1))</f>
        <v>15</v>
      </c>
      <c r="R23" s="84">
        <f>SQRT(((((K23-$P23)^2)+((L23-$P23)^2)+((M23-$P23)^2)+((N23-$P23)^2)+((O23-$P23)^2))/4))</f>
        <v>6.7453687816160208</v>
      </c>
      <c r="S23" s="42">
        <v>95</v>
      </c>
      <c r="T23" s="8">
        <v>84</v>
      </c>
      <c r="U23" s="8">
        <v>81</v>
      </c>
      <c r="V23" s="10">
        <v>89</v>
      </c>
      <c r="W23" s="10">
        <v>87</v>
      </c>
      <c r="X23" s="87">
        <f>IF(B23="","",AVERAGE(S23:W23))</f>
        <v>87.2</v>
      </c>
      <c r="Y23" s="80">
        <f>(LARGE(S23:W23,1))-(SMALL(S23:W23,1))</f>
        <v>14</v>
      </c>
      <c r="Z23" s="84">
        <f>SQRT(((((S23-$X23)^2)+((T23-$X23)^2)+((U23-$X23)^2)+((V23-$X23)^2)+((W23-$X23)^2))/4))</f>
        <v>5.3103672189407014</v>
      </c>
      <c r="AA23" s="110">
        <f>IF(B23="","",AVERAGE(C23:G23,K23:O23,S23:W23))</f>
        <v>103.86666666666666</v>
      </c>
      <c r="AC23" s="147">
        <v>6</v>
      </c>
      <c r="AD23" s="1">
        <v>7</v>
      </c>
      <c r="AE23" s="1">
        <v>4</v>
      </c>
    </row>
    <row r="24" spans="1:31" ht="13.5" thickBot="1" x14ac:dyDescent="0.25">
      <c r="A24" s="318"/>
      <c r="B24" s="3" t="s">
        <v>6</v>
      </c>
      <c r="C24" s="125">
        <f>IF(C20="","",AVERAGE(C20:C23))</f>
        <v>194.25</v>
      </c>
      <c r="D24" s="78">
        <f t="shared" ref="D24" si="20">IF(D20="","",AVERAGE(D20:D23))</f>
        <v>145</v>
      </c>
      <c r="E24" s="78">
        <f t="shared" ref="E24" si="21">IF(E20="","",AVERAGE(E20:E23))</f>
        <v>121</v>
      </c>
      <c r="F24" s="78">
        <f t="shared" ref="F24" si="22">IF(F20="","",AVERAGE(F20:F23))</f>
        <v>101.75</v>
      </c>
      <c r="G24" s="79">
        <f t="shared" ref="G24" si="23">IF(G20="","",AVERAGE(G20:G23))</f>
        <v>150</v>
      </c>
      <c r="H24" s="118">
        <f>(SUM(H20:H23))/4</f>
        <v>142.4</v>
      </c>
      <c r="I24" s="119">
        <f>AVERAGE(I20:I23)</f>
        <v>111</v>
      </c>
      <c r="J24" s="120">
        <f>(SUM(J20:J23))/20</f>
        <v>8.7623457507979801</v>
      </c>
      <c r="K24" s="125">
        <f>IF(K20="","",AVERAGE(K20:K23))</f>
        <v>90.75</v>
      </c>
      <c r="L24" s="78">
        <f>IF(L20="","",AVERAGE(L20:L23))</f>
        <v>80.25</v>
      </c>
      <c r="M24" s="78">
        <f t="shared" ref="M24" si="24">IF(M20="","",AVERAGE(M20:M23))</f>
        <v>76.25</v>
      </c>
      <c r="N24" s="78">
        <f t="shared" ref="N24" si="25">IF(N20="","",AVERAGE(N20:N23))</f>
        <v>76.25</v>
      </c>
      <c r="O24" s="79">
        <f>IF(O20="","",AVERAGE(O20:O23))</f>
        <v>87.25</v>
      </c>
      <c r="P24" s="118">
        <f>(SUM(P20:P23))/4</f>
        <v>82.15</v>
      </c>
      <c r="Q24" s="119">
        <f>AVERAGE(Q20:Q23)</f>
        <v>20.5</v>
      </c>
      <c r="R24" s="120">
        <f>(SUM(R20:R23))/20</f>
        <v>1.6584873249983083</v>
      </c>
      <c r="S24" s="125">
        <f>IF(S20="","",AVERAGE(S20:S23))</f>
        <v>95.25</v>
      </c>
      <c r="T24" s="78">
        <f>IF(T20="","",AVERAGE(T20:T23))</f>
        <v>84</v>
      </c>
      <c r="U24" s="78">
        <f>IF(U20="","",AVERAGE(U20:U23))</f>
        <v>81</v>
      </c>
      <c r="V24" s="78">
        <f t="shared" ref="V24" si="26">IF(V20="","",AVERAGE(V20:V23))</f>
        <v>89</v>
      </c>
      <c r="W24" s="79">
        <f>IF(W20="","",AVERAGE(W20:W23))</f>
        <v>87</v>
      </c>
      <c r="X24" s="118">
        <f>(SUM(X20:X23))/4</f>
        <v>87.25</v>
      </c>
      <c r="Y24" s="119">
        <f>AVERAGE(Y20:Y23)</f>
        <v>15</v>
      </c>
      <c r="Z24" s="120">
        <f>(SUM(Z20:Z23))/20</f>
        <v>1.2892717183024152</v>
      </c>
      <c r="AA24" s="122">
        <f>(H24+P24+X24)/3</f>
        <v>103.93333333333334</v>
      </c>
      <c r="AC24" s="148">
        <f>SUM(AC20:AC23)</f>
        <v>23</v>
      </c>
    </row>
    <row r="25" spans="1:31" x14ac:dyDescent="0.2">
      <c r="A25" s="316" t="s">
        <v>12</v>
      </c>
      <c r="B25" s="11" t="s">
        <v>36</v>
      </c>
      <c r="C25" s="14">
        <f>3*60+35</f>
        <v>215</v>
      </c>
      <c r="D25" s="26">
        <v>76</v>
      </c>
      <c r="E25" s="6">
        <v>72</v>
      </c>
      <c r="F25" s="6">
        <v>64</v>
      </c>
      <c r="G25" s="6">
        <v>69</v>
      </c>
      <c r="H25" s="85">
        <f>IF(B25="","",AVERAGE(C25:G25))</f>
        <v>99.2</v>
      </c>
      <c r="I25" s="81">
        <f>(LARGE(C25:G25,1))-(SMALL(C25:G25,1))</f>
        <v>151</v>
      </c>
      <c r="J25" s="82">
        <f>SQRT(((((C25-$H25)^2)+((D25-H25)^2)+((E25-H25)^2)+((F25-H25)^2)+((G25-H25)^2))/4))</f>
        <v>64.882200949104671</v>
      </c>
      <c r="K25" s="16">
        <v>57</v>
      </c>
      <c r="L25" s="25">
        <v>61</v>
      </c>
      <c r="M25" s="25">
        <v>61</v>
      </c>
      <c r="N25" s="28">
        <v>65</v>
      </c>
      <c r="O25" s="10">
        <v>64</v>
      </c>
      <c r="P25" s="85">
        <f>IF(B25="","",AVERAGE(K25:O25))</f>
        <v>61.6</v>
      </c>
      <c r="Q25" s="81">
        <f>(LARGE(K25:O25,1))-(SMALL(K25:O25,1))</f>
        <v>8</v>
      </c>
      <c r="R25" s="82">
        <f>SQRT(((((K25-$P25)^2)+((L25-$P25)^2)+((M25-$P25)^2)+((N25-$P25)^2)+((O25-$P25)^2))/4))</f>
        <v>3.1304951684997055</v>
      </c>
      <c r="S25" s="7">
        <v>50</v>
      </c>
      <c r="T25" s="8">
        <v>53</v>
      </c>
      <c r="U25" s="8">
        <v>44</v>
      </c>
      <c r="V25" s="8">
        <v>47</v>
      </c>
      <c r="W25" s="10">
        <v>66</v>
      </c>
      <c r="X25" s="85">
        <f>IF(B25="","",AVERAGE(S25:W25))</f>
        <v>52</v>
      </c>
      <c r="Y25" s="81">
        <f>(LARGE(S25:W25,1))-(SMALL(S25:W25,1))</f>
        <v>22</v>
      </c>
      <c r="Z25" s="82">
        <f>SQRT(((((S25-$X25)^2)+((T25-$X25)^2)+((U25-$X25)^2)+((V25-$X25)^2)+((W25-$X25)^2))/4))</f>
        <v>8.5146931829632013</v>
      </c>
      <c r="AA25" s="114">
        <f>IF(B25="","",AVERAGE(C25:G25,K25:O25,S25:W25))</f>
        <v>70.933333333333337</v>
      </c>
      <c r="AC25" s="147">
        <v>5</v>
      </c>
      <c r="AD25" s="1">
        <v>10</v>
      </c>
      <c r="AE25" s="1">
        <v>5</v>
      </c>
    </row>
    <row r="26" spans="1:31" x14ac:dyDescent="0.2">
      <c r="A26" s="317"/>
      <c r="B26" s="23" t="s">
        <v>37</v>
      </c>
      <c r="C26" s="14">
        <f>2*60+57</f>
        <v>177</v>
      </c>
      <c r="D26" s="26">
        <v>112</v>
      </c>
      <c r="E26" s="13">
        <v>88</v>
      </c>
      <c r="F26" s="25">
        <v>106</v>
      </c>
      <c r="G26" s="10">
        <v>88</v>
      </c>
      <c r="H26" s="86">
        <f>IF(B26="","",AVERAGE(C26:G26))</f>
        <v>114.2</v>
      </c>
      <c r="I26" s="74">
        <f>(LARGE(C26:G26,1))-(SMALL(C26:G26,1))</f>
        <v>89</v>
      </c>
      <c r="J26" s="83">
        <f>SQRT(((((C26-$H26)^2)+((D26-H26)^2)+((E26-H26)^2)+((F26-H26)^2)+((G26-H26)^2))/4))</f>
        <v>36.704223190254282</v>
      </c>
      <c r="K26" s="43">
        <v>112</v>
      </c>
      <c r="L26" s="8">
        <v>75</v>
      </c>
      <c r="M26" s="25">
        <f>2*60+35</f>
        <v>155</v>
      </c>
      <c r="N26" s="25">
        <v>79</v>
      </c>
      <c r="O26" s="8">
        <v>92</v>
      </c>
      <c r="P26" s="86">
        <f>IF(B26="","",AVERAGE(K26:O26))</f>
        <v>102.6</v>
      </c>
      <c r="Q26" s="74">
        <f>(LARGE(K26:O26,1))-(SMALL(K26:O26,1))</f>
        <v>80</v>
      </c>
      <c r="R26" s="83">
        <f>SQRT(((((K26-$P26)^2)+((L26-$P26)^2)+((M26-$P26)^2)+((N26-$P26)^2)+((O26-$P26)^2))/4))</f>
        <v>32.65424934062947</v>
      </c>
      <c r="S26" s="16">
        <v>78</v>
      </c>
      <c r="T26" s="8">
        <v>76</v>
      </c>
      <c r="U26" s="10">
        <v>77</v>
      </c>
      <c r="V26" s="8">
        <v>68</v>
      </c>
      <c r="W26" s="8">
        <v>69</v>
      </c>
      <c r="X26" s="86">
        <f>IF(B26="","",AVERAGE(S26:W26))</f>
        <v>73.599999999999994</v>
      </c>
      <c r="Y26" s="74">
        <f>(LARGE(S26:W26,1))-(SMALL(S26:W26,1))</f>
        <v>10</v>
      </c>
      <c r="Z26" s="83">
        <f>SQRT(((((S26-$X26)^2)+((T26-$X26)^2)+((U26-$X26)^2)+((V26-$X26)^2)+((W26-$X26)^2))/4))</f>
        <v>4.7222875812470377</v>
      </c>
      <c r="AA26" s="110">
        <f>IF(B26="","",AVERAGE(C26:G26,K26:O26,S26:W26))</f>
        <v>96.8</v>
      </c>
      <c r="AC26" s="147">
        <v>5</v>
      </c>
      <c r="AD26" s="1">
        <v>5</v>
      </c>
      <c r="AE26" s="1">
        <v>1</v>
      </c>
    </row>
    <row r="27" spans="1:31" x14ac:dyDescent="0.2">
      <c r="A27" s="317"/>
      <c r="B27" s="23" t="s">
        <v>38</v>
      </c>
      <c r="C27" s="14">
        <f>5*60</f>
        <v>300</v>
      </c>
      <c r="D27" s="26">
        <v>129</v>
      </c>
      <c r="E27" s="25">
        <v>137</v>
      </c>
      <c r="F27" s="8">
        <v>104</v>
      </c>
      <c r="G27" s="8">
        <v>98</v>
      </c>
      <c r="H27" s="86">
        <f>IF(B27="","",AVERAGE(C27:G27))</f>
        <v>153.6</v>
      </c>
      <c r="I27" s="74">
        <f>(LARGE(C27:G27,1))-(SMALL(C27:G27,1))</f>
        <v>202</v>
      </c>
      <c r="J27" s="83">
        <f>SQRT(((((C27-$H27)^2)+((D27-H27)^2)+((E27-H27)^2)+((F27-H27)^2)+((G27-H27)^2))/4))</f>
        <v>83.464363652998642</v>
      </c>
      <c r="K27" s="25">
        <v>105</v>
      </c>
      <c r="L27" s="25">
        <v>99</v>
      </c>
      <c r="M27" s="25">
        <v>128</v>
      </c>
      <c r="N27" s="25">
        <v>82</v>
      </c>
      <c r="O27" s="25">
        <v>88</v>
      </c>
      <c r="P27" s="86">
        <f>IF(B27="","",AVERAGE(K27:O27))</f>
        <v>100.4</v>
      </c>
      <c r="Q27" s="74">
        <f>(LARGE(K27:O27,1))-(SMALL(K27:O27,1))</f>
        <v>46</v>
      </c>
      <c r="R27" s="83">
        <f>SQRT(((((K27-$P27)^2)+((L27-$P27)^2)+((M27-$P27)^2)+((N27-$P27)^2)+((O27-$P27)^2))/4))</f>
        <v>17.86896751354146</v>
      </c>
      <c r="S27" s="7">
        <v>103</v>
      </c>
      <c r="T27" s="25">
        <v>96</v>
      </c>
      <c r="U27" s="10">
        <v>103</v>
      </c>
      <c r="V27" s="8">
        <v>84</v>
      </c>
      <c r="W27" s="8">
        <v>85</v>
      </c>
      <c r="X27" s="86">
        <f>IF(B27="","",AVERAGE(S27:W27))</f>
        <v>94.2</v>
      </c>
      <c r="Y27" s="74">
        <f>(LARGE(S27:W27,1))-(SMALL(S27:W27,1))</f>
        <v>19</v>
      </c>
      <c r="Z27" s="83">
        <f>SQRT(((((S27-$X27)^2)+((T27-$X27)^2)+((U27-$X27)^2)+((V27-$X27)^2)+((W27-$X27)^2))/4))</f>
        <v>9.3112834775878248</v>
      </c>
      <c r="AA27" s="110">
        <f>IF(B27="","",AVERAGE(C27:G27,K27:O27,S27:W27))</f>
        <v>116.06666666666666</v>
      </c>
      <c r="AC27" s="147">
        <v>3</v>
      </c>
    </row>
    <row r="28" spans="1:31" ht="13.5" thickBot="1" x14ac:dyDescent="0.25">
      <c r="A28" s="317"/>
      <c r="B28" s="23" t="s">
        <v>39</v>
      </c>
      <c r="C28" s="43">
        <v>230</v>
      </c>
      <c r="D28" s="10">
        <v>105</v>
      </c>
      <c r="E28" s="10">
        <v>99</v>
      </c>
      <c r="F28" s="60">
        <v>91</v>
      </c>
      <c r="G28" s="8">
        <v>85</v>
      </c>
      <c r="H28" s="87">
        <f>IF(B28="","",AVERAGE(C28:G28))</f>
        <v>122</v>
      </c>
      <c r="I28" s="80">
        <f>(LARGE(C28:G28,1))-(SMALL(C28:G28,1))</f>
        <v>145</v>
      </c>
      <c r="J28" s="84">
        <f>SQRT(((((C28-$H28)^2)+((D28-H28)^2)+((E28-H28)^2)+((F28-H28)^2)+((G28-H28)^2))/4))</f>
        <v>60.852280154485584</v>
      </c>
      <c r="K28" s="16">
        <v>91</v>
      </c>
      <c r="L28" s="8">
        <v>78</v>
      </c>
      <c r="M28" s="25">
        <v>114</v>
      </c>
      <c r="N28" s="8">
        <v>75</v>
      </c>
      <c r="O28" s="10">
        <v>81</v>
      </c>
      <c r="P28" s="87">
        <f>IF(B28="","",AVERAGE(K28:O28))</f>
        <v>87.8</v>
      </c>
      <c r="Q28" s="80">
        <f>(LARGE(K28:O28,1))-(SMALL(K28:O28,1))</f>
        <v>39</v>
      </c>
      <c r="R28" s="84">
        <f>SQRT(((((K28-$P28)^2)+((L28-$P28)^2)+((M28-$P28)^2)+((N28-$P28)^2)+((O28-$P28)^2))/4))</f>
        <v>15.833508770957877</v>
      </c>
      <c r="S28" s="7">
        <v>77</v>
      </c>
      <c r="T28" s="8">
        <v>75</v>
      </c>
      <c r="U28" s="8">
        <v>75</v>
      </c>
      <c r="V28" s="8">
        <v>70</v>
      </c>
      <c r="W28" s="8">
        <v>73</v>
      </c>
      <c r="X28" s="87">
        <f>IF(B28="","",AVERAGE(S28:W28))</f>
        <v>74</v>
      </c>
      <c r="Y28" s="80">
        <f>(LARGE(S28:W28,1))-(SMALL(S28:W28,1))</f>
        <v>7</v>
      </c>
      <c r="Z28" s="84">
        <f>SQRT(((((S28-$X28)^2)+((T28-$X28)^2)+((U28-$X28)^2)+((V28-$X28)^2)+((W28-$X28)^2))/4))</f>
        <v>2.6457513110645907</v>
      </c>
      <c r="AA28" s="110">
        <f>IF(B28="","",AVERAGE(C28:G28,K28:O28,S28:W28))</f>
        <v>94.6</v>
      </c>
      <c r="AC28" s="147">
        <v>4</v>
      </c>
      <c r="AD28" s="1">
        <v>10</v>
      </c>
      <c r="AE28" s="1">
        <v>2</v>
      </c>
    </row>
    <row r="29" spans="1:31" ht="13.5" thickBot="1" x14ac:dyDescent="0.25">
      <c r="A29" s="318"/>
      <c r="B29" s="3" t="s">
        <v>6</v>
      </c>
      <c r="C29" s="125">
        <f>IF(C25="","",AVERAGE(C25:C28))</f>
        <v>230.5</v>
      </c>
      <c r="D29" s="78">
        <f t="shared" ref="D29" si="27">IF(D25="","",AVERAGE(D25:D28))</f>
        <v>105.5</v>
      </c>
      <c r="E29" s="78">
        <f t="shared" ref="E29" si="28">IF(E25="","",AVERAGE(E25:E28))</f>
        <v>99</v>
      </c>
      <c r="F29" s="78">
        <f t="shared" ref="F29" si="29">IF(F25="","",AVERAGE(F25:F28))</f>
        <v>91.25</v>
      </c>
      <c r="G29" s="79">
        <f t="shared" ref="G29" si="30">IF(G25="","",AVERAGE(G25:G28))</f>
        <v>85</v>
      </c>
      <c r="H29" s="118">
        <f>(SUM(H25:H28))/4</f>
        <v>122.25</v>
      </c>
      <c r="I29" s="119">
        <f>AVERAGE(I25:I28)</f>
        <v>146.75</v>
      </c>
      <c r="J29" s="120">
        <f>(SUM(J25:J28))/20</f>
        <v>12.295153397342158</v>
      </c>
      <c r="K29" s="125">
        <f>IF(K25="","",AVERAGE(K25:K28))</f>
        <v>91.25</v>
      </c>
      <c r="L29" s="78">
        <f>IF(L25="","",AVERAGE(L25:L28))</f>
        <v>78.25</v>
      </c>
      <c r="M29" s="78">
        <f t="shared" ref="M29" si="31">IF(M25="","",AVERAGE(M25:M28))</f>
        <v>114.5</v>
      </c>
      <c r="N29" s="78">
        <f t="shared" ref="N29" si="32">IF(N25="","",AVERAGE(N25:N28))</f>
        <v>75.25</v>
      </c>
      <c r="O29" s="79">
        <f>IF(O25="","",AVERAGE(O25:O28))</f>
        <v>81.25</v>
      </c>
      <c r="P29" s="118">
        <f>(SUM(P25:P28))/4</f>
        <v>88.100000000000009</v>
      </c>
      <c r="Q29" s="119">
        <f>AVERAGE(Q25:Q28)</f>
        <v>43.25</v>
      </c>
      <c r="R29" s="120">
        <f>(SUM(R25:R28))/20</f>
        <v>3.4743610396814253</v>
      </c>
      <c r="S29" s="125">
        <f>IF(S25="","",AVERAGE(S25:S28))</f>
        <v>77</v>
      </c>
      <c r="T29" s="78">
        <f>IF(T25="","",AVERAGE(T25:T28))</f>
        <v>75</v>
      </c>
      <c r="U29" s="78">
        <f>IF(U25="","",AVERAGE(U25:U28))</f>
        <v>74.75</v>
      </c>
      <c r="V29" s="78">
        <f t="shared" ref="V29" si="33">IF(V25="","",AVERAGE(V25:V28))</f>
        <v>67.25</v>
      </c>
      <c r="W29" s="79">
        <f>IF(W25="","",AVERAGE(W25:W28))</f>
        <v>73.25</v>
      </c>
      <c r="X29" s="118">
        <f>(SUM(X25:X28))/4</f>
        <v>73.45</v>
      </c>
      <c r="Y29" s="119">
        <f>AVERAGE(Y25:Y28)</f>
        <v>14.5</v>
      </c>
      <c r="Z29" s="120">
        <f>(SUM(Z25:Z28))/20</f>
        <v>1.2597007776431328</v>
      </c>
      <c r="AA29" s="122">
        <f>(H29+P29+X29)/3</f>
        <v>94.600000000000009</v>
      </c>
      <c r="AC29" s="148">
        <f>SUM(AC25:AC28)</f>
        <v>17</v>
      </c>
    </row>
    <row r="30" spans="1:31" x14ac:dyDescent="0.2">
      <c r="A30" s="316" t="s">
        <v>13</v>
      </c>
      <c r="B30" s="11" t="s">
        <v>41</v>
      </c>
      <c r="C30" s="27">
        <v>136</v>
      </c>
      <c r="D30" s="28">
        <v>120</v>
      </c>
      <c r="E30" s="158">
        <v>164</v>
      </c>
      <c r="F30" s="28">
        <v>112</v>
      </c>
      <c r="G30" s="159">
        <v>102</v>
      </c>
      <c r="H30" s="85">
        <f>IF(B30="","",AVERAGE(C30:G30))</f>
        <v>126.8</v>
      </c>
      <c r="I30" s="81">
        <f>(LARGE(C30:G30,1))-(SMALL(C30:G30,1))</f>
        <v>62</v>
      </c>
      <c r="J30" s="82">
        <f>SQRT(((((C30-$H30)^2)+((D30-H30)^2)+((E30-H30)^2)+((F30-H30)^2)+((G30-H30)^2))/4))</f>
        <v>24.232209969377536</v>
      </c>
      <c r="K30" s="14">
        <v>108</v>
      </c>
      <c r="L30" s="25">
        <v>98</v>
      </c>
      <c r="M30" s="25">
        <v>131</v>
      </c>
      <c r="N30" s="26">
        <v>93</v>
      </c>
      <c r="O30" s="10">
        <v>119</v>
      </c>
      <c r="P30" s="85">
        <f>IF(B30="","",AVERAGE(K30:O30))</f>
        <v>109.8</v>
      </c>
      <c r="Q30" s="81">
        <f>(LARGE(K30:O30,1))-(SMALL(K30:O30,1))</f>
        <v>38</v>
      </c>
      <c r="R30" s="82">
        <f>SQRT(((((K30-$P30)^2)+((L30-$P30)^2)+((M30-$P30)^2)+((N30-$P30)^2)+((O30-$P30)^2))/4))</f>
        <v>15.482247898803326</v>
      </c>
      <c r="S30" s="7">
        <v>82</v>
      </c>
      <c r="T30" s="8">
        <v>81</v>
      </c>
      <c r="U30" s="8">
        <v>83</v>
      </c>
      <c r="V30" s="28">
        <v>134</v>
      </c>
      <c r="W30" s="8">
        <v>69</v>
      </c>
      <c r="X30" s="85">
        <f>IF(B30="","",AVERAGE(S30:W30))</f>
        <v>89.8</v>
      </c>
      <c r="Y30" s="81">
        <f>(LARGE(S30:W30,1))-(SMALL(S30:W30,1))</f>
        <v>65</v>
      </c>
      <c r="Z30" s="82">
        <f>SQRT(((((S30-$X30)^2)+((T30-$X30)^2)+((U30-$X30)^2)+((V30-$X30)^2)+((W30-$X30)^2))/4))</f>
        <v>25.351528553521188</v>
      </c>
      <c r="AA30" s="114">
        <f>IF(B30="","",AVERAGE(C30:G30,K30:O30,S30:W30))</f>
        <v>108.8</v>
      </c>
      <c r="AC30" s="147">
        <v>6</v>
      </c>
    </row>
    <row r="31" spans="1:31" x14ac:dyDescent="0.2">
      <c r="A31" s="317"/>
      <c r="B31" s="23" t="s">
        <v>42</v>
      </c>
      <c r="C31" s="7">
        <f>3*60+2</f>
        <v>182</v>
      </c>
      <c r="D31" s="26">
        <v>107</v>
      </c>
      <c r="E31" s="26">
        <v>100</v>
      </c>
      <c r="F31" s="25">
        <v>74</v>
      </c>
      <c r="G31" s="174">
        <v>114</v>
      </c>
      <c r="H31" s="86">
        <f>IF(B31="","",AVERAGE(C31:G31))</f>
        <v>115.4</v>
      </c>
      <c r="I31" s="74">
        <f>(LARGE(C31:G31,1))-(SMALL(C31:G31,1))</f>
        <v>108</v>
      </c>
      <c r="J31" s="83">
        <f>SQRT(((((C31-$H31)^2)+((D31-H31)^2)+((E31-H31)^2)+((F31-H31)^2)+((G31-H31)^2))/4))</f>
        <v>40.184574154767397</v>
      </c>
      <c r="K31" s="16">
        <v>84</v>
      </c>
      <c r="L31" s="8">
        <v>71</v>
      </c>
      <c r="M31" s="25">
        <v>74</v>
      </c>
      <c r="N31" s="25">
        <v>140</v>
      </c>
      <c r="O31" s="10">
        <v>90</v>
      </c>
      <c r="P31" s="86">
        <f>IF(B31="","",AVERAGE(K31:O31))</f>
        <v>91.8</v>
      </c>
      <c r="Q31" s="74">
        <f>(LARGE(K31:O31,1))-(SMALL(K31:O31,1))</f>
        <v>69</v>
      </c>
      <c r="R31" s="83">
        <f>SQRT(((((K31-$P31)^2)+((L31-$P31)^2)+((M31-$P31)^2)+((N31-$P31)^2)+((O31-$P31)^2))/4))</f>
        <v>28.003571200830795</v>
      </c>
      <c r="S31" s="7">
        <v>82</v>
      </c>
      <c r="T31" s="8">
        <v>84</v>
      </c>
      <c r="U31" s="8">
        <v>86</v>
      </c>
      <c r="V31" s="8">
        <v>85</v>
      </c>
      <c r="W31" s="8">
        <v>83</v>
      </c>
      <c r="X31" s="86">
        <f>IF(B31="","",AVERAGE(S31:W31))</f>
        <v>84</v>
      </c>
      <c r="Y31" s="74">
        <f>(LARGE(S31:W31,1))-(SMALL(S31:W31,1))</f>
        <v>4</v>
      </c>
      <c r="Z31" s="83">
        <f>SQRT(((((S31-$X31)^2)+((T31-$X31)^2)+((U31-$X31)^2)+((V31-$X31)^2)+((W31-$X31)^2))/4))</f>
        <v>1.5811388300841898</v>
      </c>
      <c r="AA31" s="110">
        <f>IF(B31="","",AVERAGE(C31:G31,K31:O31,S31:W31))</f>
        <v>97.066666666666663</v>
      </c>
      <c r="AC31" s="147">
        <v>3</v>
      </c>
      <c r="AD31" s="1">
        <v>10</v>
      </c>
      <c r="AE31" s="1">
        <v>3</v>
      </c>
    </row>
    <row r="32" spans="1:31" x14ac:dyDescent="0.2">
      <c r="A32" s="317"/>
      <c r="B32" s="23" t="s">
        <v>43</v>
      </c>
      <c r="C32" s="43">
        <v>190</v>
      </c>
      <c r="D32" s="10">
        <v>153</v>
      </c>
      <c r="E32" s="42">
        <v>145</v>
      </c>
      <c r="F32" s="60">
        <v>121</v>
      </c>
      <c r="G32" s="178">
        <v>120</v>
      </c>
      <c r="H32" s="86">
        <f>IF(B32="","",AVERAGE(C32:G32))</f>
        <v>145.80000000000001</v>
      </c>
      <c r="I32" s="74">
        <f>(LARGE(C32:G32,1))-(SMALL(C32:G32,1))</f>
        <v>70</v>
      </c>
      <c r="J32" s="83">
        <f>SQRT(((((C32-$H32)^2)+((D32-H32)^2)+((E32-H32)^2)+((F32-H32)^2)+((G32-H32)^2))/4))</f>
        <v>28.665310045419012</v>
      </c>
      <c r="K32" s="60">
        <v>104</v>
      </c>
      <c r="L32" s="16">
        <v>97</v>
      </c>
      <c r="M32" s="60">
        <v>100</v>
      </c>
      <c r="N32" s="25">
        <v>117</v>
      </c>
      <c r="O32" s="10">
        <v>105</v>
      </c>
      <c r="P32" s="86">
        <f>IF(B32="","",AVERAGE(K32:O32))</f>
        <v>104.6</v>
      </c>
      <c r="Q32" s="74">
        <f>(LARGE(K32:O32,1))-(SMALL(K32:O32,1))</f>
        <v>20</v>
      </c>
      <c r="R32" s="83">
        <f>SQRT(((((K32-$P32)^2)+((L32-$P32)^2)+((M32-$P32)^2)+((N32-$P32)^2)+((O32-$P32)^2))/4))</f>
        <v>7.6354436675284294</v>
      </c>
      <c r="S32" s="60">
        <v>95</v>
      </c>
      <c r="T32" s="60">
        <v>87</v>
      </c>
      <c r="U32" s="60">
        <v>90</v>
      </c>
      <c r="V32" s="10">
        <v>102</v>
      </c>
      <c r="W32" s="60">
        <v>84</v>
      </c>
      <c r="X32" s="86">
        <f>IF(B32="","",AVERAGE(S32:W32))</f>
        <v>91.6</v>
      </c>
      <c r="Y32" s="74">
        <f>(LARGE(S32:W32,1))-(SMALL(S32:W32,1))</f>
        <v>18</v>
      </c>
      <c r="Z32" s="83">
        <f>SQRT(((((S32-$X32)^2)+((T32-$X32)^2)+((U32-$X32)^2)+((V32-$X32)^2)+((W32-$X32)^2))/4))</f>
        <v>7.0922492905988577</v>
      </c>
      <c r="AA32" s="110">
        <f>IF(B32="","",AVERAGE(C32:G32,K32:O32,S32:W32))</f>
        <v>114</v>
      </c>
      <c r="AC32" s="147">
        <v>4</v>
      </c>
      <c r="AD32" s="1">
        <v>9</v>
      </c>
      <c r="AE32" s="1">
        <v>3</v>
      </c>
    </row>
    <row r="33" spans="1:32" ht="13.5" thickBot="1" x14ac:dyDescent="0.25">
      <c r="A33" s="317"/>
      <c r="B33" s="23" t="s">
        <v>44</v>
      </c>
      <c r="C33" s="177">
        <v>185</v>
      </c>
      <c r="D33" s="176">
        <v>147</v>
      </c>
      <c r="E33" s="176">
        <v>144</v>
      </c>
      <c r="F33" s="62">
        <v>116</v>
      </c>
      <c r="G33" s="137">
        <v>119</v>
      </c>
      <c r="H33" s="87">
        <f>IF(B33="","",AVERAGE(C33:G33))</f>
        <v>142.19999999999999</v>
      </c>
      <c r="I33" s="80">
        <f>(LARGE(C33:G33,1))-(SMALL(C33:G33,1))</f>
        <v>69</v>
      </c>
      <c r="J33" s="84">
        <f>SQRT(((((C33-$H33)^2)+((D33-H33)^2)+((E33-H33)^2)+((F33-H33)^2)+((G33-H33)^2))/4))</f>
        <v>27.761484110184021</v>
      </c>
      <c r="K33" s="56">
        <v>102</v>
      </c>
      <c r="L33" s="25">
        <v>115</v>
      </c>
      <c r="M33" s="56">
        <v>102</v>
      </c>
      <c r="N33" s="56">
        <v>93</v>
      </c>
      <c r="O33" s="56">
        <v>103</v>
      </c>
      <c r="P33" s="87">
        <f>IF(B33="","",AVERAGE(K33:O33))</f>
        <v>103</v>
      </c>
      <c r="Q33" s="80">
        <f>(LARGE(K33:O33,1))-(SMALL(K33:O33,1))</f>
        <v>22</v>
      </c>
      <c r="R33" s="84">
        <f>SQRT(((((K33-$P33)^2)+((L33-$P33)^2)+((M33-$P33)^2)+((N33-$P33)^2)+((O33-$P33)^2))/4))</f>
        <v>7.8421935706790613</v>
      </c>
      <c r="S33" s="16">
        <v>92</v>
      </c>
      <c r="T33" s="56">
        <v>85</v>
      </c>
      <c r="U33" s="10">
        <v>101</v>
      </c>
      <c r="V33" s="56">
        <v>90</v>
      </c>
      <c r="W33" s="56">
        <v>85</v>
      </c>
      <c r="X33" s="87">
        <f>IF(B33="","",AVERAGE(S33:W33))</f>
        <v>90.6</v>
      </c>
      <c r="Y33" s="80">
        <f>(LARGE(S33:W33,1))-(SMALL(S33:W33,1))</f>
        <v>16</v>
      </c>
      <c r="Z33" s="84">
        <f>SQRT(((((S33-$X33)^2)+((T33-$X33)^2)+((U33-$X33)^2)+((V33-$X33)^2)+((W33-$X33)^2))/4))</f>
        <v>6.58027355054484</v>
      </c>
      <c r="AA33" s="110">
        <f>IF(B33="","",AVERAGE(C33:G33,K33:O33,S33:W33))</f>
        <v>111.93333333333334</v>
      </c>
      <c r="AC33" s="147">
        <v>3</v>
      </c>
      <c r="AD33" s="1">
        <v>5</v>
      </c>
      <c r="AE33" s="1">
        <v>1</v>
      </c>
    </row>
    <row r="34" spans="1:32" ht="13.5" thickBot="1" x14ac:dyDescent="0.25">
      <c r="A34" s="318"/>
      <c r="B34" s="3" t="s">
        <v>6</v>
      </c>
      <c r="C34" s="126">
        <f>IF(C30="","",AVERAGE(C30:C33))</f>
        <v>173.25</v>
      </c>
      <c r="D34" s="127">
        <f t="shared" ref="D34" si="34">IF(D30="","",AVERAGE(D30:D33))</f>
        <v>131.75</v>
      </c>
      <c r="E34" s="127">
        <f t="shared" ref="E34" si="35">IF(E30="","",AVERAGE(E30:E33))</f>
        <v>138.25</v>
      </c>
      <c r="F34" s="127">
        <f t="shared" ref="F34" si="36">IF(F30="","",AVERAGE(F30:F33))</f>
        <v>105.75</v>
      </c>
      <c r="G34" s="128">
        <f t="shared" ref="G34" si="37">IF(G30="","",AVERAGE(G30:G33))</f>
        <v>113.75</v>
      </c>
      <c r="H34" s="118">
        <f>(SUM(H30:H33))/4</f>
        <v>132.55000000000001</v>
      </c>
      <c r="I34" s="119">
        <f>AVERAGE(I30:I33)</f>
        <v>77.25</v>
      </c>
      <c r="J34" s="120">
        <f>(SUM(J30:J33))/20</f>
        <v>6.0421789139873976</v>
      </c>
      <c r="K34" s="125">
        <f>IF(K30="","",AVERAGE(K30:K33))</f>
        <v>99.5</v>
      </c>
      <c r="L34" s="78">
        <f>IF(L30="","",AVERAGE(L30:L33))</f>
        <v>95.25</v>
      </c>
      <c r="M34" s="78">
        <f t="shared" ref="M34" si="38">IF(M30="","",AVERAGE(M30:M33))</f>
        <v>101.75</v>
      </c>
      <c r="N34" s="78">
        <f t="shared" ref="N34" si="39">IF(N30="","",AVERAGE(N30:N33))</f>
        <v>110.75</v>
      </c>
      <c r="O34" s="79">
        <f>IF(O30="","",AVERAGE(O30:O33))</f>
        <v>104.25</v>
      </c>
      <c r="P34" s="118">
        <f>(SUM(P30:P33))/4</f>
        <v>102.3</v>
      </c>
      <c r="Q34" s="119">
        <f>AVERAGE(Q30:Q33)</f>
        <v>37.25</v>
      </c>
      <c r="R34" s="120">
        <f>(SUM(R30:R33))/20</f>
        <v>2.9481728168920802</v>
      </c>
      <c r="S34" s="125">
        <f>IF(S30="","",AVERAGE(S30:S33))</f>
        <v>87.75</v>
      </c>
      <c r="T34" s="78">
        <f>IF(T30="","",AVERAGE(T30:T33))</f>
        <v>84.25</v>
      </c>
      <c r="U34" s="78">
        <f>IF(U30="","",AVERAGE(U30:U33))</f>
        <v>90</v>
      </c>
      <c r="V34" s="78">
        <f t="shared" ref="V34" si="40">IF(V30="","",AVERAGE(V30:V33))</f>
        <v>102.75</v>
      </c>
      <c r="W34" s="79">
        <f>IF(W30="","",AVERAGE(W30:W33))</f>
        <v>80.25</v>
      </c>
      <c r="X34" s="118">
        <f>(SUM(X30:X33))/4</f>
        <v>89</v>
      </c>
      <c r="Y34" s="119">
        <f>AVERAGE(Y30:Y33)</f>
        <v>25.75</v>
      </c>
      <c r="Z34" s="120">
        <f>(SUM(Z30:Z33))/20</f>
        <v>2.0302595112374537</v>
      </c>
      <c r="AA34" s="122">
        <f>(H34+P34+X34)/3</f>
        <v>107.95</v>
      </c>
      <c r="AC34" s="148">
        <f>SUM(AC30:AC33)</f>
        <v>16</v>
      </c>
    </row>
    <row r="35" spans="1:32" x14ac:dyDescent="0.2">
      <c r="A35" s="316" t="s">
        <v>14</v>
      </c>
      <c r="B35" s="11" t="s">
        <v>45</v>
      </c>
      <c r="C35" s="27">
        <v>190</v>
      </c>
      <c r="D35" s="28">
        <v>110</v>
      </c>
      <c r="E35" s="59">
        <v>92</v>
      </c>
      <c r="F35" s="59">
        <v>94</v>
      </c>
      <c r="G35" s="159">
        <v>85</v>
      </c>
      <c r="H35" s="85">
        <f>IF(B35="","",AVERAGE(C35:G35))</f>
        <v>114.2</v>
      </c>
      <c r="I35" s="81">
        <f>(LARGE(C35:G35,1))-(SMALL(C35:G35,1))</f>
        <v>105</v>
      </c>
      <c r="J35" s="82">
        <f>SQRT(((((C35-$H35)^2)+((D35-H35)^2)+((E35-H35)^2)+((F35-H35)^2)+((G35-H35)^2))/4))</f>
        <v>43.349740483652262</v>
      </c>
      <c r="K35" s="16">
        <v>83</v>
      </c>
      <c r="L35" s="26">
        <v>91</v>
      </c>
      <c r="M35" s="58">
        <v>82</v>
      </c>
      <c r="N35" s="58">
        <v>87</v>
      </c>
      <c r="O35" s="10">
        <v>93</v>
      </c>
      <c r="P35" s="85">
        <f>IF(B35="","",AVERAGE(K35:O35))</f>
        <v>87.2</v>
      </c>
      <c r="Q35" s="81">
        <f>(LARGE(K35:O35,1))-(SMALL(K35:O35,1))</f>
        <v>11</v>
      </c>
      <c r="R35" s="82">
        <f>SQRT(((((K35-$P35)^2)+((L35-$P35)^2)+((M35-$P35)^2)+((N35-$P35)^2)+((O35-$P35)^2))/4))</f>
        <v>4.8166378315169185</v>
      </c>
      <c r="S35" s="25">
        <v>79</v>
      </c>
      <c r="T35" s="58">
        <v>78</v>
      </c>
      <c r="U35" s="58">
        <v>77</v>
      </c>
      <c r="V35" s="58">
        <v>76</v>
      </c>
      <c r="W35" s="58">
        <v>80</v>
      </c>
      <c r="X35" s="85">
        <f>IF(B35="","",AVERAGE(S35:W35))</f>
        <v>78</v>
      </c>
      <c r="Y35" s="81">
        <f>(LARGE(S35:W35,1))-(SMALL(S35:W35,1))</f>
        <v>4</v>
      </c>
      <c r="Z35" s="82">
        <f>SQRT(((((S35-$X35)^2)+((T35-$X35)^2)+((U35-$X35)^2)+((V35-$X35)^2)+((W35-$X35)^2))/4))</f>
        <v>1.5811388300841898</v>
      </c>
      <c r="AA35" s="114">
        <f>IF(B35="","",AVERAGE(C35:G35,K35:O35,S35:W35))</f>
        <v>93.13333333333334</v>
      </c>
      <c r="AC35" s="147">
        <v>3</v>
      </c>
      <c r="AD35" s="1">
        <v>10</v>
      </c>
      <c r="AE35" s="1">
        <v>3</v>
      </c>
    </row>
    <row r="36" spans="1:32" x14ac:dyDescent="0.2">
      <c r="A36" s="317"/>
      <c r="B36" s="11" t="s">
        <v>46</v>
      </c>
      <c r="C36" s="43">
        <v>160</v>
      </c>
      <c r="D36" s="10">
        <v>101</v>
      </c>
      <c r="E36" s="58">
        <v>97</v>
      </c>
      <c r="F36" s="58">
        <v>92</v>
      </c>
      <c r="G36" s="160">
        <v>87</v>
      </c>
      <c r="H36" s="86">
        <f>IF(B36="","",AVERAGE(C36:G36))</f>
        <v>107.4</v>
      </c>
      <c r="I36" s="74">
        <f>(LARGE(C36:G36,1))-(SMALL(C36:G36,1))</f>
        <v>73</v>
      </c>
      <c r="J36" s="83">
        <f>SQRT(((((C36-$H36)^2)+((D36-H36)^2)+((E36-H36)^2)+((F36-H36)^2)+((G36-H36)^2))/4))</f>
        <v>29.871390995398926</v>
      </c>
      <c r="K36" s="16">
        <v>94</v>
      </c>
      <c r="L36" s="58">
        <v>85</v>
      </c>
      <c r="M36" s="10">
        <v>114</v>
      </c>
      <c r="N36" s="58">
        <v>83</v>
      </c>
      <c r="O36" s="25">
        <v>88</v>
      </c>
      <c r="P36" s="86">
        <f>IF(B36="","",AVERAGE(K36:O36))</f>
        <v>92.8</v>
      </c>
      <c r="Q36" s="74">
        <f>(LARGE(K36:O36,1))-(SMALL(K36:O36,1))</f>
        <v>31</v>
      </c>
      <c r="R36" s="83">
        <f>SQRT(((((K36-$P36)^2)+((L36-$P36)^2)+((M36-$P36)^2)+((N36-$P36)^2)+((O36-$P36)^2))/4))</f>
        <v>12.557866060760482</v>
      </c>
      <c r="S36" s="58">
        <v>79</v>
      </c>
      <c r="T36" s="58">
        <v>81</v>
      </c>
      <c r="U36" s="10">
        <v>89</v>
      </c>
      <c r="V36" s="58">
        <v>74</v>
      </c>
      <c r="W36" s="58">
        <v>77</v>
      </c>
      <c r="X36" s="86">
        <f>IF(B36="","",AVERAGE(S36:W36))</f>
        <v>80</v>
      </c>
      <c r="Y36" s="74">
        <f>(LARGE(S36:W36,1))-(SMALL(S36:W36,1))</f>
        <v>15</v>
      </c>
      <c r="Z36" s="83">
        <f>SQRT(((((S36-$X36)^2)+((T36-$X36)^2)+((U36-$X36)^2)+((V36-$X36)^2)+((W36-$X36)^2))/4))</f>
        <v>5.6568542494923806</v>
      </c>
      <c r="AA36" s="110">
        <f>IF(B36="","",AVERAGE(C36:G36,K36:O36,S36:W36))</f>
        <v>93.4</v>
      </c>
      <c r="AC36" s="147">
        <v>4</v>
      </c>
      <c r="AD36" s="1">
        <v>10</v>
      </c>
      <c r="AE36" s="1">
        <v>3</v>
      </c>
    </row>
    <row r="37" spans="1:32" x14ac:dyDescent="0.2">
      <c r="A37" s="317"/>
      <c r="B37" s="11" t="s">
        <v>47</v>
      </c>
      <c r="C37" s="43">
        <v>187</v>
      </c>
      <c r="D37" s="10">
        <v>104</v>
      </c>
      <c r="E37" s="10">
        <v>107</v>
      </c>
      <c r="F37" s="58">
        <v>87</v>
      </c>
      <c r="G37" s="160">
        <v>85</v>
      </c>
      <c r="H37" s="86">
        <f>IF(B37="","",AVERAGE(C37:G37))</f>
        <v>114</v>
      </c>
      <c r="I37" s="74">
        <f>(LARGE(C37:G37,1))-(SMALL(C37:G37,1))</f>
        <v>102</v>
      </c>
      <c r="J37" s="83">
        <f>SQRT(((((C37-$H37)^2)+((D37-H37)^2)+((E37-H37)^2)+((F37-H37)^2)+((G37-H37)^2))/4))</f>
        <v>41.976183723630712</v>
      </c>
      <c r="K37" s="58">
        <v>82</v>
      </c>
      <c r="L37" s="16">
        <v>76</v>
      </c>
      <c r="M37" s="10">
        <v>87</v>
      </c>
      <c r="N37" s="58">
        <v>69</v>
      </c>
      <c r="O37" s="58">
        <v>78</v>
      </c>
      <c r="P37" s="86">
        <f>IF(B37="","",AVERAGE(K37:O37))</f>
        <v>78.400000000000006</v>
      </c>
      <c r="Q37" s="74">
        <f>(LARGE(K37:O37,1))-(SMALL(K37:O37,1))</f>
        <v>18</v>
      </c>
      <c r="R37" s="83">
        <f>SQRT(((((K37-$P37)^2)+((L37-$P37)^2)+((M37-$P37)^2)+((N37-$P37)^2)+((O37-$P37)^2))/4))</f>
        <v>6.730527468185536</v>
      </c>
      <c r="S37" s="43">
        <v>84</v>
      </c>
      <c r="T37" s="58">
        <v>76</v>
      </c>
      <c r="U37" s="58">
        <v>80</v>
      </c>
      <c r="V37" s="58">
        <v>73</v>
      </c>
      <c r="W37" s="58">
        <v>72</v>
      </c>
      <c r="X37" s="86">
        <f>IF(B37="","",AVERAGE(S37:W37))</f>
        <v>77</v>
      </c>
      <c r="Y37" s="74">
        <f>(LARGE(S37:W37,1))-(SMALL(S37:W37,1))</f>
        <v>12</v>
      </c>
      <c r="Z37" s="83">
        <f>SQRT(((((S37-$X37)^2)+((T37-$X37)^2)+((U37-$X37)^2)+((V37-$X37)^2)+((W37-$X37)^2))/4))</f>
        <v>5</v>
      </c>
      <c r="AA37" s="110">
        <f>IF(B37="","",AVERAGE(C37:G37,K37:O37,S37:W37))</f>
        <v>89.8</v>
      </c>
      <c r="AC37" s="147">
        <v>5</v>
      </c>
      <c r="AD37" s="1">
        <v>9</v>
      </c>
      <c r="AE37" s="1">
        <v>2</v>
      </c>
    </row>
    <row r="38" spans="1:32" ht="13.5" thickBot="1" x14ac:dyDescent="0.25">
      <c r="A38" s="317"/>
      <c r="B38" s="11" t="s">
        <v>48</v>
      </c>
      <c r="C38" s="177">
        <v>184</v>
      </c>
      <c r="D38" s="176">
        <v>112</v>
      </c>
      <c r="E38" s="62">
        <v>90</v>
      </c>
      <c r="F38" s="62">
        <v>88</v>
      </c>
      <c r="G38" s="65">
        <v>90</v>
      </c>
      <c r="H38" s="87">
        <f>IF(B38="","",AVERAGE(C38:G38))</f>
        <v>112.8</v>
      </c>
      <c r="I38" s="80">
        <f>(LARGE(C38:G38,1))-(SMALL(C38:G38,1))</f>
        <v>96</v>
      </c>
      <c r="J38" s="84">
        <f>SQRT(((((C38-$H38)^2)+((D38-H38)^2)+((E38-H38)^2)+((F38-H38)^2)+((G38-H38)^2))/4))</f>
        <v>41.002438951847736</v>
      </c>
      <c r="K38" s="16">
        <v>88</v>
      </c>
      <c r="L38" s="58">
        <v>82</v>
      </c>
      <c r="M38" s="10">
        <v>84</v>
      </c>
      <c r="N38" s="58">
        <v>71</v>
      </c>
      <c r="O38" s="58">
        <v>74</v>
      </c>
      <c r="P38" s="87">
        <f>IF(B38="","",AVERAGE(K38:O38))</f>
        <v>79.8</v>
      </c>
      <c r="Q38" s="80">
        <f>(LARGE(K38:O38,1))-(SMALL(K38:O38,1))</f>
        <v>17</v>
      </c>
      <c r="R38" s="84">
        <f>SQRT(((((K38-$P38)^2)+((L38-$P38)^2)+((M38-$P38)^2)+((N38-$P38)^2)+((O38-$P38)^2))/4))</f>
        <v>7.0851958335673411</v>
      </c>
      <c r="S38" s="58">
        <v>76</v>
      </c>
      <c r="T38" s="25">
        <v>77</v>
      </c>
      <c r="U38" s="58">
        <v>70</v>
      </c>
      <c r="V38" s="58">
        <v>69</v>
      </c>
      <c r="W38" s="58">
        <v>70</v>
      </c>
      <c r="X38" s="87">
        <f>IF(B38="","",AVERAGE(S38:W38))</f>
        <v>72.400000000000006</v>
      </c>
      <c r="Y38" s="80">
        <f>(LARGE(S38:W38,1))-(SMALL(S38:W38,1))</f>
        <v>8</v>
      </c>
      <c r="Z38" s="84">
        <f>SQRT(((((S38-$X38)^2)+((T38-$X38)^2)+((U38-$X38)^2)+((V38-$X38)^2)+((W38-$X38)^2))/4))</f>
        <v>3.7815340802378072</v>
      </c>
      <c r="AA38" s="110">
        <f>IF(B38="","",AVERAGE(C38:G38,K38:O38,S38:W38))</f>
        <v>88.333333333333329</v>
      </c>
      <c r="AC38" s="147">
        <v>2</v>
      </c>
      <c r="AD38" s="1">
        <v>10</v>
      </c>
      <c r="AE38" s="1">
        <v>2</v>
      </c>
    </row>
    <row r="39" spans="1:32" ht="13.5" thickBot="1" x14ac:dyDescent="0.25">
      <c r="A39" s="318"/>
      <c r="B39" s="3" t="s">
        <v>6</v>
      </c>
      <c r="C39" s="126">
        <f>IF(C35="","",AVERAGE(C35:C38))</f>
        <v>180.25</v>
      </c>
      <c r="D39" s="127">
        <f t="shared" ref="D39" si="41">IF(D35="","",AVERAGE(D35:D38))</f>
        <v>106.75</v>
      </c>
      <c r="E39" s="127">
        <f t="shared" ref="E39" si="42">IF(E35="","",AVERAGE(E35:E38))</f>
        <v>96.5</v>
      </c>
      <c r="F39" s="127">
        <f t="shared" ref="F39" si="43">IF(F35="","",AVERAGE(F35:F38))</f>
        <v>90.25</v>
      </c>
      <c r="G39" s="128">
        <f t="shared" ref="G39" si="44">IF(G35="","",AVERAGE(G35:G38))</f>
        <v>86.75</v>
      </c>
      <c r="H39" s="118">
        <f>(SUM(H35:H38))/4</f>
        <v>112.10000000000001</v>
      </c>
      <c r="I39" s="119">
        <f>AVERAGE(I35:I38)</f>
        <v>94</v>
      </c>
      <c r="J39" s="120">
        <f>(SUM(J35:J38))/20</f>
        <v>7.8099877077264823</v>
      </c>
      <c r="K39" s="115">
        <f>IF(K35="","",AVERAGE(K35:K38))</f>
        <v>86.75</v>
      </c>
      <c r="L39" s="116">
        <f>IF(L35="","",AVERAGE(L35:L38))</f>
        <v>83.5</v>
      </c>
      <c r="M39" s="116">
        <f t="shared" ref="M39" si="45">IF(M35="","",AVERAGE(M35:M38))</f>
        <v>91.75</v>
      </c>
      <c r="N39" s="116">
        <f t="shared" ref="N39" si="46">IF(N35="","",AVERAGE(N35:N38))</f>
        <v>77.5</v>
      </c>
      <c r="O39" s="121">
        <f>IF(O35="","",AVERAGE(O35:O38))</f>
        <v>83.25</v>
      </c>
      <c r="P39" s="118">
        <f>(SUM(P35:P38))/4</f>
        <v>84.55</v>
      </c>
      <c r="Q39" s="119">
        <f>AVERAGE(Q35:Q38)</f>
        <v>19.25</v>
      </c>
      <c r="R39" s="120">
        <f>(SUM(R35:R38))/20</f>
        <v>1.5595113597015138</v>
      </c>
      <c r="S39" s="115">
        <f>IF(S35="","",AVERAGE(S35:S38))</f>
        <v>79.5</v>
      </c>
      <c r="T39" s="116">
        <f>IF(T35="","",AVERAGE(T35:T38))</f>
        <v>78</v>
      </c>
      <c r="U39" s="116">
        <f>IF(U35="","",AVERAGE(U35:U38))</f>
        <v>79</v>
      </c>
      <c r="V39" s="116">
        <f t="shared" ref="V39" si="47">IF(V35="","",AVERAGE(V35:V38))</f>
        <v>73</v>
      </c>
      <c r="W39" s="121">
        <f>IF(W35="","",AVERAGE(W35:W38))</f>
        <v>74.75</v>
      </c>
      <c r="X39" s="118">
        <f>(SUM(X35:X38))/4</f>
        <v>76.849999999999994</v>
      </c>
      <c r="Y39" s="119">
        <f>AVERAGE(Y35:Y38)</f>
        <v>9.75</v>
      </c>
      <c r="Z39" s="120">
        <f>(SUM(Z35:Z38))/20</f>
        <v>0.80097635799071887</v>
      </c>
      <c r="AA39" s="122">
        <f>(H39+P39+X39)/3</f>
        <v>91.166666666666671</v>
      </c>
      <c r="AC39" s="148">
        <f>SUM(AC35:AC38)</f>
        <v>14</v>
      </c>
    </row>
    <row r="40" spans="1:32" x14ac:dyDescent="0.2">
      <c r="A40" s="316" t="s">
        <v>15</v>
      </c>
      <c r="B40" s="11" t="s">
        <v>40</v>
      </c>
      <c r="C40" s="44">
        <v>181</v>
      </c>
      <c r="D40" s="28">
        <v>159</v>
      </c>
      <c r="E40" s="28">
        <v>156</v>
      </c>
      <c r="F40" s="28">
        <v>157</v>
      </c>
      <c r="G40" s="172">
        <v>125</v>
      </c>
      <c r="H40" s="85">
        <f>IF(B40="","",AVERAGE(C40:G40))</f>
        <v>155.6</v>
      </c>
      <c r="I40" s="81">
        <f>(LARGE(C40:G40,1))-(SMALL(C40:G40,1))</f>
        <v>56</v>
      </c>
      <c r="J40" s="82">
        <f>SQRT(((((C40-$H40)^2)+((D40-H40)^2)+((E40-H40)^2)+((F40-H40)^2)+((G40-H40)^2))/4))</f>
        <v>19.969977466186585</v>
      </c>
      <c r="K40" s="48">
        <v>100</v>
      </c>
      <c r="L40" s="28">
        <v>119</v>
      </c>
      <c r="M40" s="41">
        <v>94</v>
      </c>
      <c r="N40" s="41">
        <v>105</v>
      </c>
      <c r="O40" s="28">
        <v>93</v>
      </c>
      <c r="P40" s="85">
        <f>IF(B40="","",AVERAGE(K40:O40))</f>
        <v>102.2</v>
      </c>
      <c r="Q40" s="81">
        <f>(LARGE(K40:O40,1))-(SMALL(K40:O40,1))</f>
        <v>26</v>
      </c>
      <c r="R40" s="82">
        <f>SQRT(((((K40-$P40)^2)+((L40-$P40)^2)+((M40-$P40)^2)+((N40-$P40)^2)+((O40-$P40)^2))/4))</f>
        <v>10.56882207249228</v>
      </c>
      <c r="S40" s="45">
        <v>108</v>
      </c>
      <c r="T40" s="41">
        <v>89</v>
      </c>
      <c r="U40" s="41">
        <v>99</v>
      </c>
      <c r="V40" s="41">
        <v>94</v>
      </c>
      <c r="W40" s="28">
        <v>95</v>
      </c>
      <c r="X40" s="85">
        <f>IF(B40="","",AVERAGE(S40:W40))</f>
        <v>97</v>
      </c>
      <c r="Y40" s="81">
        <f>(LARGE(S40:W40,1))-(SMALL(S40:W40,1))</f>
        <v>19</v>
      </c>
      <c r="Z40" s="82">
        <f>SQRT(((((S40-$X40)^2)+((T40-$X40)^2)+((U40-$X40)^2)+((V40-$X40)^2)+((W40-$X40)^2))/4))</f>
        <v>7.1063352017759476</v>
      </c>
      <c r="AA40" s="112">
        <f>IF(B40="","",AVERAGE(C40:G40,K40:O40,S40:W40))</f>
        <v>118.26666666666667</v>
      </c>
      <c r="AC40" s="147">
        <v>9</v>
      </c>
    </row>
    <row r="41" spans="1:32" ht="13.5" thickBot="1" x14ac:dyDescent="0.25">
      <c r="A41" s="317"/>
      <c r="B41" s="23" t="s">
        <v>49</v>
      </c>
      <c r="C41" s="14">
        <f>60*3+12</f>
        <v>192</v>
      </c>
      <c r="D41" s="25">
        <v>157</v>
      </c>
      <c r="E41" s="25">
        <v>153</v>
      </c>
      <c r="F41" s="25">
        <v>121</v>
      </c>
      <c r="G41" s="173">
        <v>127</v>
      </c>
      <c r="H41" s="86">
        <f>IF(B41="","",AVERAGE(C41:G41))</f>
        <v>150</v>
      </c>
      <c r="I41" s="74">
        <f>(LARGE(C41:G41,1))-(SMALL(C41:G41,1))</f>
        <v>71</v>
      </c>
      <c r="J41" s="83">
        <f>SQRT(((((C41-$H41)^2)+((D41-H41)^2)+((E41-H41)^2)+((F41-H41)^2)+((G41-H41)^2))/4))</f>
        <v>28.24889378365107</v>
      </c>
      <c r="K41" s="46">
        <v>98</v>
      </c>
      <c r="L41" s="16">
        <v>100</v>
      </c>
      <c r="M41" s="25">
        <v>111</v>
      </c>
      <c r="N41" s="10">
        <v>105</v>
      </c>
      <c r="O41" s="40">
        <v>93</v>
      </c>
      <c r="P41" s="86">
        <f>IF(B41="","",AVERAGE(K41:O41))</f>
        <v>101.4</v>
      </c>
      <c r="Q41" s="74">
        <f>(LARGE(K41:O41,1))-(SMALL(K41:O41,1))</f>
        <v>18</v>
      </c>
      <c r="R41" s="83">
        <f>SQRT(((((K41-$P41)^2)+((L41-$P41)^2)+((M41-$P41)^2)+((N41-$P41)^2)+((O41-$P41)^2))/4))</f>
        <v>6.8774995456197594</v>
      </c>
      <c r="S41" s="46">
        <v>91</v>
      </c>
      <c r="T41" s="40">
        <v>81</v>
      </c>
      <c r="U41" s="10">
        <v>98</v>
      </c>
      <c r="V41" s="40">
        <v>89</v>
      </c>
      <c r="W41" s="40">
        <v>97</v>
      </c>
      <c r="X41" s="86">
        <f>IF(B41="","",AVERAGE(S41:W41))</f>
        <v>91.2</v>
      </c>
      <c r="Y41" s="74">
        <f>(LARGE(S41:W41,1))-(SMALL(S41:W41,1))</f>
        <v>17</v>
      </c>
      <c r="Z41" s="83">
        <f>SQRT(((((S41-$X41)^2)+((T41-$X41)^2)+((U41-$X41)^2)+((V41-$X41)^2)+((W41-$X41)^2))/4))</f>
        <v>6.8702256149270671</v>
      </c>
      <c r="AA41" s="113">
        <f>IF(B41="","",AVERAGE(C41:G41,K41:O41,S41:W41))</f>
        <v>114.2</v>
      </c>
      <c r="AC41" s="147">
        <v>4</v>
      </c>
      <c r="AD41" s="1">
        <v>9</v>
      </c>
      <c r="AE41" s="1">
        <v>3</v>
      </c>
    </row>
    <row r="42" spans="1:32" x14ac:dyDescent="0.2">
      <c r="A42" s="317"/>
      <c r="B42" s="23" t="s">
        <v>50</v>
      </c>
      <c r="C42" s="14">
        <f>4*60+23</f>
        <v>263</v>
      </c>
      <c r="D42" s="25">
        <v>226</v>
      </c>
      <c r="E42" s="28">
        <v>161</v>
      </c>
      <c r="F42" s="28">
        <v>143</v>
      </c>
      <c r="G42" s="174">
        <v>139</v>
      </c>
      <c r="H42" s="86">
        <f>IF(B42="","",AVERAGE(C42:G42))</f>
        <v>186.4</v>
      </c>
      <c r="I42" s="74">
        <f>(LARGE(C42:G42,1))-(SMALL(C42:G42,1))</f>
        <v>124</v>
      </c>
      <c r="J42" s="83">
        <f>SQRT(((((C42-$H42)^2)+((D42-H42)^2)+((E42-H42)^2)+((F42-H42)^2)+((G42-H42)^2))/4))</f>
        <v>55.252149279462422</v>
      </c>
      <c r="K42" s="16">
        <v>126</v>
      </c>
      <c r="L42" s="40">
        <v>100</v>
      </c>
      <c r="M42" s="40">
        <v>102</v>
      </c>
      <c r="N42" s="25">
        <v>131</v>
      </c>
      <c r="O42" s="10">
        <v>120</v>
      </c>
      <c r="P42" s="86">
        <f>IF(B42="","",AVERAGE(K42:O42))</f>
        <v>115.8</v>
      </c>
      <c r="Q42" s="74">
        <f>(LARGE(K42:O42,1))-(SMALL(K42:O42,1))</f>
        <v>31</v>
      </c>
      <c r="R42" s="83">
        <f>SQRT(((((K42-$P42)^2)+((L42-$P42)^2)+((M42-$P42)^2)+((N42-$P42)^2)+((O42-$P42)^2))/4))</f>
        <v>14.078352176302452</v>
      </c>
      <c r="S42" s="14">
        <v>108</v>
      </c>
      <c r="T42" s="40">
        <v>96</v>
      </c>
      <c r="U42" s="40">
        <v>93</v>
      </c>
      <c r="V42" s="40">
        <v>98</v>
      </c>
      <c r="W42" s="40">
        <v>91</v>
      </c>
      <c r="X42" s="86">
        <f>IF(B42="","",AVERAGE(S42:W42))</f>
        <v>97.2</v>
      </c>
      <c r="Y42" s="74">
        <f>(LARGE(S42:W42,1))-(SMALL(S42:W42,1))</f>
        <v>17</v>
      </c>
      <c r="Z42" s="83">
        <f>SQRT(((((S42-$X42)^2)+((T42-$X42)^2)+((U42-$X42)^2)+((V42-$X42)^2)+((W42-$X42)^2))/4))</f>
        <v>6.6105975524153635</v>
      </c>
      <c r="AA42" s="113">
        <f>IF(B42="","",AVERAGE(C42:G42,K42:O42,S42:W42))</f>
        <v>133.13333333333333</v>
      </c>
      <c r="AC42" s="147">
        <v>5</v>
      </c>
      <c r="AD42" s="1">
        <v>10</v>
      </c>
      <c r="AE42" s="1">
        <v>3</v>
      </c>
    </row>
    <row r="43" spans="1:32" ht="13.5" thickBot="1" x14ac:dyDescent="0.25">
      <c r="A43" s="317"/>
      <c r="B43" s="23" t="s">
        <v>51</v>
      </c>
      <c r="C43" s="175">
        <v>212</v>
      </c>
      <c r="D43" s="176">
        <v>180</v>
      </c>
      <c r="E43" s="176">
        <v>157</v>
      </c>
      <c r="F43" s="176">
        <v>140</v>
      </c>
      <c r="G43" s="91">
        <v>130</v>
      </c>
      <c r="H43" s="87">
        <f>IF(B43="","",AVERAGE(C43:G43))</f>
        <v>163.80000000000001</v>
      </c>
      <c r="I43" s="80">
        <f>(LARGE(C43:G43,1))-(SMALL(C43:G43,1))</f>
        <v>82</v>
      </c>
      <c r="J43" s="84">
        <f>SQRT(((((C43-$H43)^2)+((D43-H43)^2)+((E43-H43)^2)+((F43-H43)^2)+((G43-H43)^2))/4))</f>
        <v>32.942373927815218</v>
      </c>
      <c r="K43" s="47">
        <v>108</v>
      </c>
      <c r="L43" s="39">
        <v>106</v>
      </c>
      <c r="M43" s="39">
        <v>103</v>
      </c>
      <c r="N43" s="61">
        <v>113</v>
      </c>
      <c r="O43" s="39">
        <v>102</v>
      </c>
      <c r="P43" s="87">
        <f>IF(B43="","",AVERAGE(K43:O43))</f>
        <v>106.4</v>
      </c>
      <c r="Q43" s="80">
        <f>(LARGE(K43:O43,1))-(SMALL(K43:O43,1))</f>
        <v>11</v>
      </c>
      <c r="R43" s="84">
        <f>SQRT(((((K43-$P43)^2)+((L43-$P43)^2)+((M43-$P43)^2)+((N43-$P43)^2)+((O43-$P43)^2))/4))</f>
        <v>4.3931765272977588</v>
      </c>
      <c r="S43" s="47">
        <v>102</v>
      </c>
      <c r="T43" s="39">
        <v>89</v>
      </c>
      <c r="U43" s="39">
        <v>96</v>
      </c>
      <c r="V43" s="39">
        <v>95</v>
      </c>
      <c r="W43" s="39">
        <v>94</v>
      </c>
      <c r="X43" s="87">
        <f>IF(B43="","",AVERAGE(S43:W43))</f>
        <v>95.2</v>
      </c>
      <c r="Y43" s="80">
        <f>(LARGE(S43:W43,1))-(SMALL(S43:W43,1))</f>
        <v>13</v>
      </c>
      <c r="Z43" s="84">
        <f>SQRT(((((S43-$X43)^2)+((T43-$X43)^2)+((U43-$X43)^2)+((V43-$X43)^2)+((W43-$X43)^2))/4))</f>
        <v>4.6583258795408469</v>
      </c>
      <c r="AA43" s="113">
        <f>IF(B43="","",AVERAGE(C43:G43,K43:O43,S43:W43))</f>
        <v>121.8</v>
      </c>
      <c r="AC43" s="147">
        <v>5</v>
      </c>
    </row>
    <row r="44" spans="1:32" ht="13.5" thickBot="1" x14ac:dyDescent="0.25">
      <c r="A44" s="318"/>
      <c r="B44" s="3" t="s">
        <v>6</v>
      </c>
      <c r="C44" s="123">
        <f>IF(C40="","",AVERAGE(C40:C43))</f>
        <v>212</v>
      </c>
      <c r="D44" s="76">
        <f t="shared" ref="D44" si="48">IF(D40="","",AVERAGE(D40:D43))</f>
        <v>180.5</v>
      </c>
      <c r="E44" s="76">
        <f t="shared" ref="E44" si="49">IF(E40="","",AVERAGE(E40:E43))</f>
        <v>156.75</v>
      </c>
      <c r="F44" s="76">
        <f t="shared" ref="F44" si="50">IF(F40="","",AVERAGE(F40:F43))</f>
        <v>140.25</v>
      </c>
      <c r="G44" s="124">
        <f t="shared" ref="G44" si="51">IF(G40="","",AVERAGE(G40:G43))</f>
        <v>130.25</v>
      </c>
      <c r="H44" s="118">
        <f>(SUM(H40:H43))/4</f>
        <v>163.95</v>
      </c>
      <c r="I44" s="129">
        <f>AVERAGE(I40:I43)</f>
        <v>83.25</v>
      </c>
      <c r="J44" s="130">
        <f>(SUM(J40:J43))/20</f>
        <v>6.8206697228557642</v>
      </c>
      <c r="K44" s="123">
        <f>IF(K40="","",AVERAGE(K40:K43))</f>
        <v>108</v>
      </c>
      <c r="L44" s="76">
        <f>IF(L40="","",AVERAGE(L40:L43))</f>
        <v>106.25</v>
      </c>
      <c r="M44" s="76">
        <f t="shared" ref="M44" si="52">IF(M40="","",AVERAGE(M40:M43))</f>
        <v>102.5</v>
      </c>
      <c r="N44" s="76">
        <f t="shared" ref="N44" si="53">IF(N40="","",AVERAGE(N40:N43))</f>
        <v>113.5</v>
      </c>
      <c r="O44" s="124">
        <f>IF(O40="","",AVERAGE(O40:O43))</f>
        <v>102</v>
      </c>
      <c r="P44" s="118">
        <f>(SUM(P40:P43))/4</f>
        <v>106.45000000000002</v>
      </c>
      <c r="Q44" s="129">
        <f>AVERAGE(Q40:Q43)</f>
        <v>21.5</v>
      </c>
      <c r="R44" s="130">
        <f>(SUM(R40:R43))/20</f>
        <v>1.7958925160856125</v>
      </c>
      <c r="S44" s="123">
        <f>IF(S40="","",AVERAGE(S40:S43))</f>
        <v>102.25</v>
      </c>
      <c r="T44" s="76">
        <f>IF(T40="","",AVERAGE(T40:T43))</f>
        <v>88.75</v>
      </c>
      <c r="U44" s="76">
        <f>IF(U40="","",AVERAGE(U40:U43))</f>
        <v>96.5</v>
      </c>
      <c r="V44" s="76">
        <f t="shared" ref="V44" si="54">IF(V40="","",AVERAGE(V40:V43))</f>
        <v>94</v>
      </c>
      <c r="W44" s="124">
        <f>IF(W40="","",AVERAGE(W40:W43))</f>
        <v>94.25</v>
      </c>
      <c r="X44" s="118">
        <f>(SUM(X40:X43))/4</f>
        <v>95.149999999999991</v>
      </c>
      <c r="Y44" s="129">
        <f>AVERAGE(Y40:Y43)</f>
        <v>16.5</v>
      </c>
      <c r="Z44" s="130">
        <f>(SUM(Z40:Z43))/20</f>
        <v>1.2622742124329611</v>
      </c>
      <c r="AA44" s="122">
        <f>(H44+P44+X44)/3</f>
        <v>121.84999999999998</v>
      </c>
      <c r="AC44" s="149">
        <f>SUM(AC40:AC43)</f>
        <v>23</v>
      </c>
    </row>
    <row r="45" spans="1:32" ht="13.5" thickBot="1" x14ac:dyDescent="0.25">
      <c r="I45" s="133">
        <f>AVERAGE(I5:I8,I10:I13,I15:I18,I20:I23,I25:I28,I30:I33,I35:I38,I40:I43)</f>
        <v>97.53125</v>
      </c>
      <c r="J45" s="132">
        <f>((SUM(J40:J43))+(SUM(J35:J38)+(SUM(J30:J33)+(SUM(J25:J28)+(SUM(J20:J23))+(SUM(J15:J18))+(SUM(J10:J13))+(SUM(J5:J8))))))/32</f>
        <v>40.099901604325716</v>
      </c>
      <c r="Q45" s="131">
        <f t="shared" ref="Q45" si="55">AVERAGE(Q5:Q8,Q10:Q13,Q15:Q18,Q20:Q23,Q25:Q28,Q30:Q33,Q35:Q38,Q40:Q43)</f>
        <v>31</v>
      </c>
      <c r="R45" s="132">
        <f>((SUM(R40:R43))+(SUM(R35:R38)+(SUM(R30:R33)+(SUM(R25:R28)+(SUM(R20:R23))+(SUM(R15:R18))+(SUM(R10:R13))+(SUM(R5:R8))))))/32</f>
        <v>12.553486114746224</v>
      </c>
      <c r="Y45" s="131">
        <f>AVERAGE(Y5:Y8,Y10:Y13,Y15:Y18,Y20:Y23,Y25:Y28,Y30:Y33,Y35:Y38,Y40:Y43)</f>
        <v>20.625</v>
      </c>
      <c r="Z45" s="132">
        <f>((SUM(Z40:Z43))+(SUM(Z35:Z38)+(SUM(Z30:Z33)+(SUM(Z25:Z28)+(SUM(Z20:Z23))+(SUM(Z15:Z18))+(SUM(Z10:Z13))+(SUM(Z5:Z8))))))/32</f>
        <v>8.5264608870331084</v>
      </c>
      <c r="AC45" s="145">
        <f>AC44+AC39+AC34+AC29+AC24+AC19+AC14+AC9</f>
        <v>148</v>
      </c>
      <c r="AD45" s="1">
        <f>SUM(AD2:AD44)</f>
        <v>206</v>
      </c>
      <c r="AE45" s="1">
        <f>SUM(AE2:AE44)</f>
        <v>57</v>
      </c>
      <c r="AF45" s="146">
        <f>AE45/AD45</f>
        <v>0.27669902912621358</v>
      </c>
    </row>
    <row r="46" spans="1:32" ht="15" customHeight="1" thickBot="1" x14ac:dyDescent="0.25">
      <c r="A46" s="329" t="s">
        <v>60</v>
      </c>
      <c r="B46" s="330"/>
      <c r="C46" s="330"/>
      <c r="D46" s="330"/>
      <c r="E46" s="330"/>
      <c r="F46" s="330"/>
      <c r="G46" s="330"/>
      <c r="H46" s="330"/>
      <c r="I46" s="330"/>
      <c r="J46" s="331"/>
      <c r="AC46" s="9">
        <v>480</v>
      </c>
    </row>
    <row r="47" spans="1:32" ht="15" customHeight="1" thickBot="1" x14ac:dyDescent="0.25">
      <c r="A47" s="348" t="s">
        <v>58</v>
      </c>
      <c r="B47" s="349"/>
      <c r="C47" s="91"/>
      <c r="D47" s="348" t="s">
        <v>55</v>
      </c>
      <c r="E47" s="349"/>
      <c r="F47" s="92"/>
      <c r="G47" s="326" t="s">
        <v>59</v>
      </c>
      <c r="H47" s="327"/>
      <c r="I47" s="328"/>
      <c r="J47" s="90"/>
      <c r="AC47" s="138">
        <f>AC45/AC46</f>
        <v>0.30833333333333335</v>
      </c>
    </row>
    <row r="48" spans="1:32" ht="15" customHeight="1" x14ac:dyDescent="0.2">
      <c r="F48" s="9">
        <v>67</v>
      </c>
      <c r="AB48" s="1" t="s">
        <v>129</v>
      </c>
      <c r="AC48" s="9">
        <v>85</v>
      </c>
      <c r="AD48" s="146">
        <f>AC48/AC51</f>
        <v>0.57432432432432434</v>
      </c>
      <c r="AE48" s="146">
        <f>AC48/AC46</f>
        <v>0.17708333333333334</v>
      </c>
    </row>
    <row r="49" spans="4:31" x14ac:dyDescent="0.2">
      <c r="F49" s="138">
        <f>F48/AC46</f>
        <v>0.13958333333333334</v>
      </c>
      <c r="K49" s="9">
        <v>14</v>
      </c>
      <c r="L49" s="9">
        <v>3</v>
      </c>
      <c r="N49" s="9">
        <v>2</v>
      </c>
      <c r="O49" s="9">
        <v>1</v>
      </c>
      <c r="S49" s="9">
        <v>3</v>
      </c>
      <c r="T49" s="9">
        <v>1</v>
      </c>
      <c r="X49" s="9">
        <f>SUM(K49:W49)</f>
        <v>24</v>
      </c>
      <c r="AB49" s="1" t="s">
        <v>130</v>
      </c>
      <c r="AC49" s="9">
        <v>37</v>
      </c>
      <c r="AD49" s="146">
        <f>AC49/AC51</f>
        <v>0.25</v>
      </c>
      <c r="AE49" s="146">
        <f>AC49/AC46</f>
        <v>7.7083333333333337E-2</v>
      </c>
    </row>
    <row r="50" spans="4:31" x14ac:dyDescent="0.2">
      <c r="K50" s="138">
        <f>K49/$X$50</f>
        <v>0.4375</v>
      </c>
      <c r="L50" s="138">
        <f>L49/$X$50</f>
        <v>9.375E-2</v>
      </c>
      <c r="N50" s="138">
        <f>N49/$X$50</f>
        <v>6.25E-2</v>
      </c>
      <c r="O50" s="138">
        <f>O49/$X$50</f>
        <v>3.125E-2</v>
      </c>
      <c r="S50" s="138">
        <f>S49/$X$50</f>
        <v>9.375E-2</v>
      </c>
      <c r="T50" s="138">
        <f>T49/$X$50</f>
        <v>3.125E-2</v>
      </c>
      <c r="W50" s="9" t="s">
        <v>71</v>
      </c>
      <c r="X50" s="9">
        <v>32</v>
      </c>
      <c r="AB50" s="1" t="s">
        <v>131</v>
      </c>
      <c r="AC50" s="9">
        <v>26</v>
      </c>
      <c r="AD50" s="146">
        <f>AC50/AC51</f>
        <v>0.17567567567567569</v>
      </c>
      <c r="AE50" s="146">
        <f>AC50/AC46</f>
        <v>5.4166666666666669E-2</v>
      </c>
    </row>
    <row r="51" spans="4:31" x14ac:dyDescent="0.2">
      <c r="J51" s="9" t="s">
        <v>133</v>
      </c>
      <c r="K51" s="9">
        <v>8</v>
      </c>
      <c r="X51" s="138">
        <f>X49/X50</f>
        <v>0.75</v>
      </c>
      <c r="AC51" s="9">
        <f>SUM(AC48:AC50)</f>
        <v>148</v>
      </c>
    </row>
    <row r="52" spans="4:31" x14ac:dyDescent="0.2">
      <c r="N52" s="9" t="s">
        <v>136</v>
      </c>
      <c r="P52" s="9" t="s">
        <v>137</v>
      </c>
      <c r="X52" s="138">
        <f>3/X50</f>
        <v>9.375E-2</v>
      </c>
    </row>
    <row r="53" spans="4:31" ht="13.5" thickBot="1" x14ac:dyDescent="0.25">
      <c r="N53" s="9">
        <f>3*8</f>
        <v>24</v>
      </c>
      <c r="P53" s="9">
        <v>24</v>
      </c>
    </row>
    <row r="54" spans="4:31" ht="13.5" thickBot="1" x14ac:dyDescent="0.25">
      <c r="I54" s="141"/>
      <c r="J54" s="142" t="s">
        <v>109</v>
      </c>
      <c r="K54" s="4" t="s">
        <v>110</v>
      </c>
      <c r="N54" s="9">
        <v>1</v>
      </c>
      <c r="P54" s="9">
        <v>10</v>
      </c>
      <c r="T54" s="138">
        <f>4/32</f>
        <v>0.125</v>
      </c>
    </row>
    <row r="55" spans="4:31" x14ac:dyDescent="0.2">
      <c r="D55" s="311" t="s">
        <v>125</v>
      </c>
      <c r="E55" s="312"/>
      <c r="F55" s="4">
        <v>277</v>
      </c>
      <c r="I55" s="143" t="s">
        <v>127</v>
      </c>
      <c r="J55" s="144">
        <v>8</v>
      </c>
      <c r="K55" s="139"/>
      <c r="N55" s="347">
        <f>N54/N53</f>
        <v>4.1666666666666664E-2</v>
      </c>
      <c r="O55" s="347"/>
      <c r="P55" s="347">
        <f>P54/P53</f>
        <v>0.41666666666666669</v>
      </c>
      <c r="Q55" s="347"/>
      <c r="R55" s="138"/>
    </row>
    <row r="56" spans="4:31" ht="13.5" thickBot="1" x14ac:dyDescent="0.25">
      <c r="D56" s="309" t="s">
        <v>126</v>
      </c>
      <c r="E56" s="310"/>
      <c r="F56" s="139">
        <v>480</v>
      </c>
      <c r="I56" s="63" t="s">
        <v>128</v>
      </c>
      <c r="J56" s="64">
        <v>5</v>
      </c>
      <c r="K56" s="5"/>
    </row>
    <row r="57" spans="4:31" ht="13.5" thickBot="1" x14ac:dyDescent="0.25">
      <c r="D57" s="63" t="s">
        <v>123</v>
      </c>
      <c r="E57" s="64"/>
      <c r="F57" s="140">
        <f>F55/F56</f>
        <v>0.57708333333333328</v>
      </c>
    </row>
  </sheetData>
  <mergeCells count="34">
    <mergeCell ref="N55:O55"/>
    <mergeCell ref="P55:Q55"/>
    <mergeCell ref="A47:B47"/>
    <mergeCell ref="D47:E47"/>
    <mergeCell ref="A35:A39"/>
    <mergeCell ref="A40:A44"/>
    <mergeCell ref="B3:B4"/>
    <mergeCell ref="A1:AA1"/>
    <mergeCell ref="T2:U2"/>
    <mergeCell ref="V2:W2"/>
    <mergeCell ref="X2:Y2"/>
    <mergeCell ref="Z2:AA2"/>
    <mergeCell ref="R2:S2"/>
    <mergeCell ref="N2:O2"/>
    <mergeCell ref="P2:Q2"/>
    <mergeCell ref="K2:M2"/>
    <mergeCell ref="A2:F2"/>
    <mergeCell ref="G2:J2"/>
    <mergeCell ref="AC2:AC4"/>
    <mergeCell ref="D56:E56"/>
    <mergeCell ref="D55:E55"/>
    <mergeCell ref="S3:Z3"/>
    <mergeCell ref="A15:A19"/>
    <mergeCell ref="A20:A24"/>
    <mergeCell ref="A25:A29"/>
    <mergeCell ref="AA3:AA4"/>
    <mergeCell ref="A3:A4"/>
    <mergeCell ref="A5:A9"/>
    <mergeCell ref="A10:A14"/>
    <mergeCell ref="G47:I47"/>
    <mergeCell ref="A46:J46"/>
    <mergeCell ref="A30:A34"/>
    <mergeCell ref="C3:J3"/>
    <mergeCell ref="K3:R3"/>
  </mergeCells>
  <phoneticPr fontId="5" type="noConversion"/>
  <printOptions horizontalCentered="1" verticalCentered="1"/>
  <pageMargins left="0.19685039370078741" right="0.19685039370078741" top="0.35433070866141736" bottom="0.35433070866141736" header="0" footer="0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selection activeCell="D9" sqref="D9"/>
    </sheetView>
  </sheetViews>
  <sheetFormatPr defaultRowHeight="15" x14ac:dyDescent="0.25"/>
  <cols>
    <col min="1" max="1" width="12.42578125" style="12" customWidth="1"/>
    <col min="2" max="2" width="9.42578125" style="12" customWidth="1"/>
    <col min="3" max="3" width="15.42578125" style="12" bestFit="1" customWidth="1"/>
    <col min="4" max="4" width="29.42578125" bestFit="1" customWidth="1"/>
    <col min="6" max="6" width="29.42578125" bestFit="1" customWidth="1"/>
    <col min="7" max="7" width="22.5703125" bestFit="1" customWidth="1"/>
  </cols>
  <sheetData>
    <row r="1" spans="1:8" ht="15.75" thickBot="1" x14ac:dyDescent="0.3">
      <c r="A1" s="350" t="s">
        <v>19</v>
      </c>
      <c r="B1" s="351"/>
      <c r="C1" s="351"/>
      <c r="D1" s="352"/>
    </row>
    <row r="2" spans="1:8" ht="15.75" thickBot="1" x14ac:dyDescent="0.3">
      <c r="A2" s="236" t="s">
        <v>54</v>
      </c>
      <c r="B2" s="237" t="s">
        <v>55</v>
      </c>
      <c r="C2" s="237" t="s">
        <v>56</v>
      </c>
      <c r="D2" s="238" t="s">
        <v>57</v>
      </c>
      <c r="F2" s="365" t="s">
        <v>141</v>
      </c>
      <c r="G2" s="366"/>
      <c r="H2" s="367"/>
    </row>
    <row r="3" spans="1:8" ht="15.75" thickBot="1" x14ac:dyDescent="0.3">
      <c r="A3" s="225" t="s">
        <v>21</v>
      </c>
      <c r="B3" s="99">
        <v>1</v>
      </c>
      <c r="C3" s="99" t="s">
        <v>73</v>
      </c>
      <c r="D3" s="235" t="s">
        <v>72</v>
      </c>
      <c r="F3" s="101" t="s">
        <v>122</v>
      </c>
      <c r="G3" s="102" t="s">
        <v>121</v>
      </c>
      <c r="H3" s="103" t="s">
        <v>123</v>
      </c>
    </row>
    <row r="4" spans="1:8" x14ac:dyDescent="0.25">
      <c r="A4" s="356" t="s">
        <v>22</v>
      </c>
      <c r="B4" s="30">
        <v>5</v>
      </c>
      <c r="C4" s="30" t="s">
        <v>76</v>
      </c>
      <c r="D4" s="32" t="s">
        <v>72</v>
      </c>
      <c r="E4" s="94"/>
      <c r="F4" s="98" t="s">
        <v>72</v>
      </c>
      <c r="G4" s="99">
        <f t="shared" ref="G4:G14" si="0">SUMIF($D$3:$D$51,F4,$B$3:$B$51)</f>
        <v>43</v>
      </c>
      <c r="H4" s="100">
        <f t="shared" ref="H4:H14" si="1">G4/$G$15</f>
        <v>0.55844155844155841</v>
      </c>
    </row>
    <row r="5" spans="1:8" x14ac:dyDescent="0.25">
      <c r="A5" s="357"/>
      <c r="B5" s="30">
        <v>5</v>
      </c>
      <c r="C5" s="30" t="s">
        <v>76</v>
      </c>
      <c r="D5" s="32" t="s">
        <v>77</v>
      </c>
      <c r="E5" s="94"/>
      <c r="F5" s="95" t="s">
        <v>77</v>
      </c>
      <c r="G5" s="30">
        <f t="shared" si="0"/>
        <v>15</v>
      </c>
      <c r="H5" s="96">
        <f t="shared" si="1"/>
        <v>0.19480519480519481</v>
      </c>
    </row>
    <row r="6" spans="1:8" x14ac:dyDescent="0.25">
      <c r="A6" s="31" t="s">
        <v>23</v>
      </c>
      <c r="B6" s="30">
        <v>0</v>
      </c>
      <c r="C6" s="30" t="s">
        <v>116</v>
      </c>
      <c r="D6" s="66" t="s">
        <v>116</v>
      </c>
      <c r="E6" s="94"/>
      <c r="F6" s="97" t="s">
        <v>68</v>
      </c>
      <c r="G6" s="30">
        <f t="shared" si="0"/>
        <v>5</v>
      </c>
      <c r="H6" s="96">
        <f t="shared" si="1"/>
        <v>6.4935064935064929E-2</v>
      </c>
    </row>
    <row r="7" spans="1:8" x14ac:dyDescent="0.25">
      <c r="A7" s="358" t="s">
        <v>24</v>
      </c>
      <c r="B7" s="30">
        <v>2</v>
      </c>
      <c r="C7" s="30" t="s">
        <v>80</v>
      </c>
      <c r="D7" s="32" t="s">
        <v>77</v>
      </c>
      <c r="E7" s="94"/>
      <c r="F7" s="97" t="s">
        <v>98</v>
      </c>
      <c r="G7" s="30">
        <f t="shared" si="0"/>
        <v>4</v>
      </c>
      <c r="H7" s="96">
        <f t="shared" si="1"/>
        <v>5.1948051948051951E-2</v>
      </c>
    </row>
    <row r="8" spans="1:8" x14ac:dyDescent="0.25">
      <c r="A8" s="360"/>
      <c r="B8" s="30">
        <v>3</v>
      </c>
      <c r="C8" s="30" t="s">
        <v>81</v>
      </c>
      <c r="D8" s="32" t="s">
        <v>72</v>
      </c>
      <c r="E8" s="94"/>
      <c r="F8" s="95" t="s">
        <v>99</v>
      </c>
      <c r="G8" s="30">
        <f t="shared" si="0"/>
        <v>2</v>
      </c>
      <c r="H8" s="96">
        <f t="shared" si="1"/>
        <v>2.5974025974025976E-2</v>
      </c>
    </row>
    <row r="9" spans="1:8" x14ac:dyDescent="0.25">
      <c r="A9" s="353" t="s">
        <v>25</v>
      </c>
      <c r="B9" s="30">
        <v>1</v>
      </c>
      <c r="C9" s="30" t="s">
        <v>63</v>
      </c>
      <c r="D9" s="32" t="s">
        <v>64</v>
      </c>
      <c r="E9" s="94"/>
      <c r="F9" s="95" t="s">
        <v>75</v>
      </c>
      <c r="G9" s="30">
        <f t="shared" si="0"/>
        <v>2</v>
      </c>
      <c r="H9" s="96">
        <f t="shared" si="1"/>
        <v>2.5974025974025976E-2</v>
      </c>
    </row>
    <row r="10" spans="1:8" x14ac:dyDescent="0.25">
      <c r="A10" s="353"/>
      <c r="B10" s="30">
        <v>1</v>
      </c>
      <c r="C10" s="30" t="s">
        <v>65</v>
      </c>
      <c r="D10" s="32" t="s">
        <v>66</v>
      </c>
      <c r="E10" s="94"/>
      <c r="F10" s="95" t="s">
        <v>66</v>
      </c>
      <c r="G10" s="30">
        <f t="shared" si="0"/>
        <v>2</v>
      </c>
      <c r="H10" s="96">
        <f t="shared" si="1"/>
        <v>2.5974025974025976E-2</v>
      </c>
    </row>
    <row r="11" spans="1:8" x14ac:dyDescent="0.25">
      <c r="A11" s="31" t="s">
        <v>26</v>
      </c>
      <c r="B11" s="30">
        <v>1</v>
      </c>
      <c r="C11" s="30" t="s">
        <v>67</v>
      </c>
      <c r="D11" s="32" t="s">
        <v>68</v>
      </c>
      <c r="E11" s="94"/>
      <c r="F11" s="97" t="s">
        <v>118</v>
      </c>
      <c r="G11" s="30">
        <f t="shared" si="0"/>
        <v>1</v>
      </c>
      <c r="H11" s="96">
        <f t="shared" si="1"/>
        <v>1.2987012987012988E-2</v>
      </c>
    </row>
    <row r="12" spans="1:8" x14ac:dyDescent="0.25">
      <c r="A12" s="31" t="s">
        <v>27</v>
      </c>
      <c r="B12" s="30">
        <v>0</v>
      </c>
      <c r="C12" s="30" t="s">
        <v>116</v>
      </c>
      <c r="D12" s="66" t="s">
        <v>116</v>
      </c>
      <c r="E12" s="94"/>
      <c r="F12" s="95" t="s">
        <v>52</v>
      </c>
      <c r="G12" s="30">
        <f t="shared" si="0"/>
        <v>1</v>
      </c>
      <c r="H12" s="96">
        <f t="shared" si="1"/>
        <v>1.2987012987012988E-2</v>
      </c>
    </row>
    <row r="13" spans="1:8" x14ac:dyDescent="0.25">
      <c r="A13" s="358" t="s">
        <v>28</v>
      </c>
      <c r="B13" s="30">
        <v>1</v>
      </c>
      <c r="C13" s="30" t="s">
        <v>79</v>
      </c>
      <c r="D13" s="32" t="s">
        <v>72</v>
      </c>
      <c r="E13" s="94"/>
      <c r="F13" s="95" t="s">
        <v>64</v>
      </c>
      <c r="G13" s="30">
        <f t="shared" si="0"/>
        <v>1</v>
      </c>
      <c r="H13" s="96">
        <f t="shared" si="1"/>
        <v>1.2987012987012988E-2</v>
      </c>
    </row>
    <row r="14" spans="1:8" ht="15.75" thickBot="1" x14ac:dyDescent="0.3">
      <c r="A14" s="359"/>
      <c r="B14" s="30">
        <v>1</v>
      </c>
      <c r="C14" s="30" t="s">
        <v>69</v>
      </c>
      <c r="D14" s="32" t="s">
        <v>77</v>
      </c>
      <c r="E14" s="94"/>
      <c r="F14" s="95" t="s">
        <v>70</v>
      </c>
      <c r="G14" s="30">
        <f t="shared" si="0"/>
        <v>1</v>
      </c>
      <c r="H14" s="96">
        <f t="shared" si="1"/>
        <v>1.2987012987012988E-2</v>
      </c>
    </row>
    <row r="15" spans="1:8" ht="15.75" thickBot="1" x14ac:dyDescent="0.3">
      <c r="A15" s="31" t="s">
        <v>20</v>
      </c>
      <c r="B15" s="30">
        <v>1</v>
      </c>
      <c r="C15" s="30" t="s">
        <v>53</v>
      </c>
      <c r="D15" s="32" t="s">
        <v>52</v>
      </c>
      <c r="F15" s="104" t="s">
        <v>71</v>
      </c>
      <c r="G15" s="105">
        <f>SUM(G4:G14)</f>
        <v>77</v>
      </c>
      <c r="H15" s="106">
        <f>SUM(H4:H14)</f>
        <v>1</v>
      </c>
    </row>
    <row r="16" spans="1:8" x14ac:dyDescent="0.25">
      <c r="A16" s="354" t="s">
        <v>29</v>
      </c>
      <c r="B16" s="30">
        <v>1</v>
      </c>
      <c r="C16" s="30" t="s">
        <v>67</v>
      </c>
      <c r="D16" s="32" t="s">
        <v>72</v>
      </c>
      <c r="F16" s="363" t="s">
        <v>82</v>
      </c>
      <c r="G16" s="364"/>
      <c r="H16" s="226">
        <f>4*8*15</f>
        <v>480</v>
      </c>
    </row>
    <row r="17" spans="1:8" ht="15.75" thickBot="1" x14ac:dyDescent="0.3">
      <c r="A17" s="355"/>
      <c r="B17" s="30">
        <v>1</v>
      </c>
      <c r="C17" s="30" t="s">
        <v>74</v>
      </c>
      <c r="D17" s="32" t="s">
        <v>75</v>
      </c>
      <c r="F17" s="361" t="s">
        <v>83</v>
      </c>
      <c r="G17" s="362"/>
      <c r="H17" s="107">
        <f>G15/H16</f>
        <v>0.16041666666666668</v>
      </c>
    </row>
    <row r="18" spans="1:8" ht="15.75" thickBot="1" x14ac:dyDescent="0.3">
      <c r="A18" s="358" t="s">
        <v>30</v>
      </c>
      <c r="B18" s="30">
        <v>1</v>
      </c>
      <c r="C18" s="30" t="s">
        <v>69</v>
      </c>
      <c r="D18" s="32" t="s">
        <v>72</v>
      </c>
      <c r="F18" s="368" t="s">
        <v>124</v>
      </c>
      <c r="G18" s="369"/>
      <c r="H18" s="108">
        <f>(COUNTIF(B3:B51,0))/32</f>
        <v>0.125</v>
      </c>
    </row>
    <row r="19" spans="1:8" x14ac:dyDescent="0.25">
      <c r="A19" s="359"/>
      <c r="B19" s="30">
        <v>1</v>
      </c>
      <c r="C19" s="30" t="s">
        <v>78</v>
      </c>
      <c r="D19" s="32" t="s">
        <v>72</v>
      </c>
    </row>
    <row r="20" spans="1:8" x14ac:dyDescent="0.25">
      <c r="A20" s="31" t="s">
        <v>31</v>
      </c>
      <c r="B20" s="30">
        <v>2</v>
      </c>
      <c r="C20" s="30" t="s">
        <v>84</v>
      </c>
      <c r="D20" s="32" t="s">
        <v>72</v>
      </c>
    </row>
    <row r="21" spans="1:8" x14ac:dyDescent="0.25">
      <c r="A21" s="31" t="s">
        <v>32</v>
      </c>
      <c r="B21" s="30">
        <v>1</v>
      </c>
      <c r="C21" s="30" t="s">
        <v>69</v>
      </c>
      <c r="D21" s="32" t="s">
        <v>70</v>
      </c>
    </row>
    <row r="22" spans="1:8" x14ac:dyDescent="0.25">
      <c r="A22" s="358" t="s">
        <v>33</v>
      </c>
      <c r="B22" s="30">
        <v>1</v>
      </c>
      <c r="C22" s="30" t="s">
        <v>67</v>
      </c>
      <c r="D22" s="32" t="s">
        <v>66</v>
      </c>
    </row>
    <row r="23" spans="1:8" x14ac:dyDescent="0.25">
      <c r="A23" s="359"/>
      <c r="B23" s="30">
        <v>1</v>
      </c>
      <c r="C23" s="30" t="s">
        <v>74</v>
      </c>
      <c r="D23" s="32" t="s">
        <v>72</v>
      </c>
    </row>
    <row r="24" spans="1:8" x14ac:dyDescent="0.25">
      <c r="A24" s="31" t="s">
        <v>34</v>
      </c>
      <c r="B24" s="30">
        <v>1</v>
      </c>
      <c r="C24" s="30" t="s">
        <v>79</v>
      </c>
      <c r="D24" s="32" t="s">
        <v>72</v>
      </c>
    </row>
    <row r="25" spans="1:8" x14ac:dyDescent="0.25">
      <c r="A25" s="356" t="s">
        <v>35</v>
      </c>
      <c r="B25" s="30">
        <v>2</v>
      </c>
      <c r="C25" s="30" t="s">
        <v>107</v>
      </c>
      <c r="D25" s="32" t="s">
        <v>72</v>
      </c>
    </row>
    <row r="26" spans="1:8" x14ac:dyDescent="0.25">
      <c r="A26" s="357"/>
      <c r="B26" s="30">
        <v>1</v>
      </c>
      <c r="C26" s="30" t="s">
        <v>108</v>
      </c>
      <c r="D26" s="32" t="s">
        <v>77</v>
      </c>
    </row>
    <row r="27" spans="1:8" x14ac:dyDescent="0.25">
      <c r="A27" s="358" t="s">
        <v>36</v>
      </c>
      <c r="B27" s="30">
        <v>1</v>
      </c>
      <c r="C27" s="30" t="s">
        <v>85</v>
      </c>
      <c r="D27" s="32" t="s">
        <v>99</v>
      </c>
    </row>
    <row r="28" spans="1:8" x14ac:dyDescent="0.25">
      <c r="A28" s="359"/>
      <c r="B28" s="30">
        <v>1</v>
      </c>
      <c r="C28" s="30" t="s">
        <v>86</v>
      </c>
      <c r="D28" s="32" t="s">
        <v>72</v>
      </c>
    </row>
    <row r="29" spans="1:8" x14ac:dyDescent="0.25">
      <c r="A29" s="358" t="s">
        <v>37</v>
      </c>
      <c r="B29" s="30">
        <v>2</v>
      </c>
      <c r="C29" s="30" t="s">
        <v>87</v>
      </c>
      <c r="D29" s="32" t="s">
        <v>72</v>
      </c>
    </row>
    <row r="30" spans="1:8" x14ac:dyDescent="0.25">
      <c r="A30" s="359"/>
      <c r="B30" s="30">
        <v>1</v>
      </c>
      <c r="C30" s="30" t="s">
        <v>86</v>
      </c>
      <c r="D30" s="32" t="s">
        <v>68</v>
      </c>
    </row>
    <row r="31" spans="1:8" x14ac:dyDescent="0.25">
      <c r="A31" s="358" t="s">
        <v>38</v>
      </c>
      <c r="B31" s="30">
        <v>2</v>
      </c>
      <c r="C31" s="30" t="s">
        <v>97</v>
      </c>
      <c r="D31" s="32" t="s">
        <v>98</v>
      </c>
    </row>
    <row r="32" spans="1:8" x14ac:dyDescent="0.25">
      <c r="A32" s="360"/>
      <c r="B32" s="30">
        <v>1</v>
      </c>
      <c r="C32" s="30" t="s">
        <v>74</v>
      </c>
      <c r="D32" s="32" t="s">
        <v>99</v>
      </c>
    </row>
    <row r="33" spans="1:4" x14ac:dyDescent="0.25">
      <c r="A33" s="360"/>
      <c r="B33" s="30">
        <v>3</v>
      </c>
      <c r="C33" s="30" t="s">
        <v>101</v>
      </c>
      <c r="D33" s="32" t="s">
        <v>68</v>
      </c>
    </row>
    <row r="34" spans="1:4" x14ac:dyDescent="0.25">
      <c r="A34" s="359"/>
      <c r="B34" s="30">
        <v>2</v>
      </c>
      <c r="C34" s="30" t="s">
        <v>100</v>
      </c>
      <c r="D34" s="32" t="s">
        <v>72</v>
      </c>
    </row>
    <row r="35" spans="1:4" x14ac:dyDescent="0.25">
      <c r="A35" s="31" t="s">
        <v>39</v>
      </c>
      <c r="B35" s="30">
        <v>1</v>
      </c>
      <c r="C35" s="30" t="s">
        <v>86</v>
      </c>
      <c r="D35" s="32" t="s">
        <v>72</v>
      </c>
    </row>
    <row r="36" spans="1:4" ht="30" x14ac:dyDescent="0.25">
      <c r="A36" s="49" t="s">
        <v>41</v>
      </c>
      <c r="B36" s="55">
        <v>4</v>
      </c>
      <c r="C36" s="53" t="s">
        <v>96</v>
      </c>
      <c r="D36" s="54" t="s">
        <v>72</v>
      </c>
    </row>
    <row r="37" spans="1:4" ht="30" x14ac:dyDescent="0.25">
      <c r="A37" s="51" t="s">
        <v>42</v>
      </c>
      <c r="B37" s="55">
        <v>4</v>
      </c>
      <c r="C37" s="53" t="s">
        <v>102</v>
      </c>
      <c r="D37" s="54" t="s">
        <v>72</v>
      </c>
    </row>
    <row r="38" spans="1:4" x14ac:dyDescent="0.25">
      <c r="A38" s="31" t="s">
        <v>43</v>
      </c>
      <c r="B38" s="30">
        <v>2</v>
      </c>
      <c r="C38" s="30" t="s">
        <v>111</v>
      </c>
      <c r="D38" s="32" t="s">
        <v>77</v>
      </c>
    </row>
    <row r="39" spans="1:4" x14ac:dyDescent="0.25">
      <c r="A39" s="358" t="s">
        <v>44</v>
      </c>
      <c r="B39" s="30">
        <v>2</v>
      </c>
      <c r="C39" s="30" t="s">
        <v>112</v>
      </c>
      <c r="D39" s="54" t="s">
        <v>72</v>
      </c>
    </row>
    <row r="40" spans="1:4" x14ac:dyDescent="0.25">
      <c r="A40" s="359"/>
      <c r="B40" s="30">
        <v>1</v>
      </c>
      <c r="C40" s="30" t="s">
        <v>69</v>
      </c>
      <c r="D40" s="32" t="s">
        <v>98</v>
      </c>
    </row>
    <row r="41" spans="1:4" x14ac:dyDescent="0.25">
      <c r="A41" s="31" t="s">
        <v>45</v>
      </c>
      <c r="B41" s="30">
        <v>2</v>
      </c>
      <c r="C41" s="30" t="s">
        <v>113</v>
      </c>
      <c r="D41" s="54" t="s">
        <v>72</v>
      </c>
    </row>
    <row r="42" spans="1:4" x14ac:dyDescent="0.25">
      <c r="A42" s="31" t="s">
        <v>46</v>
      </c>
      <c r="B42" s="30">
        <v>1</v>
      </c>
      <c r="C42" s="30" t="s">
        <v>114</v>
      </c>
      <c r="D42" s="32" t="s">
        <v>75</v>
      </c>
    </row>
    <row r="43" spans="1:4" x14ac:dyDescent="0.25">
      <c r="A43" s="31" t="s">
        <v>47</v>
      </c>
      <c r="B43" s="30">
        <v>0</v>
      </c>
      <c r="C43" s="30" t="s">
        <v>116</v>
      </c>
      <c r="D43" s="66" t="s">
        <v>116</v>
      </c>
    </row>
    <row r="44" spans="1:4" x14ac:dyDescent="0.25">
      <c r="A44" s="358" t="s">
        <v>48</v>
      </c>
      <c r="B44" s="30">
        <v>1</v>
      </c>
      <c r="C44" s="30" t="s">
        <v>63</v>
      </c>
      <c r="D44" s="54" t="s">
        <v>72</v>
      </c>
    </row>
    <row r="45" spans="1:4" x14ac:dyDescent="0.25">
      <c r="A45" s="359"/>
      <c r="B45" s="30">
        <v>1</v>
      </c>
      <c r="C45" s="30" t="s">
        <v>117</v>
      </c>
      <c r="D45" s="32" t="s">
        <v>118</v>
      </c>
    </row>
    <row r="46" spans="1:4" x14ac:dyDescent="0.25">
      <c r="A46" s="31" t="s">
        <v>40</v>
      </c>
      <c r="B46" s="30">
        <v>0</v>
      </c>
      <c r="C46" s="30" t="s">
        <v>116</v>
      </c>
      <c r="D46" s="66" t="s">
        <v>116</v>
      </c>
    </row>
    <row r="47" spans="1:4" x14ac:dyDescent="0.25">
      <c r="A47" s="358" t="s">
        <v>49</v>
      </c>
      <c r="B47" s="30">
        <v>1</v>
      </c>
      <c r="C47" s="30" t="s">
        <v>103</v>
      </c>
      <c r="D47" s="32" t="s">
        <v>98</v>
      </c>
    </row>
    <row r="48" spans="1:4" x14ac:dyDescent="0.25">
      <c r="A48" s="360"/>
      <c r="B48" s="30">
        <v>2</v>
      </c>
      <c r="C48" s="30" t="s">
        <v>104</v>
      </c>
      <c r="D48" s="32" t="s">
        <v>72</v>
      </c>
    </row>
    <row r="49" spans="1:4" x14ac:dyDescent="0.25">
      <c r="A49" s="360"/>
      <c r="B49" s="30">
        <v>3</v>
      </c>
      <c r="C49" s="30" t="s">
        <v>105</v>
      </c>
      <c r="D49" s="32" t="s">
        <v>77</v>
      </c>
    </row>
    <row r="50" spans="1:4" x14ac:dyDescent="0.25">
      <c r="A50" s="31" t="s">
        <v>50</v>
      </c>
      <c r="B50" s="30">
        <v>3</v>
      </c>
      <c r="C50" s="30" t="s">
        <v>106</v>
      </c>
      <c r="D50" s="32" t="s">
        <v>72</v>
      </c>
    </row>
    <row r="51" spans="1:4" ht="15.75" thickBot="1" x14ac:dyDescent="0.3">
      <c r="A51" s="33" t="s">
        <v>51</v>
      </c>
      <c r="B51" s="34">
        <v>1</v>
      </c>
      <c r="C51" s="34" t="s">
        <v>74</v>
      </c>
      <c r="D51" s="35" t="s">
        <v>77</v>
      </c>
    </row>
    <row r="52" spans="1:4" ht="15.75" thickBot="1" x14ac:dyDescent="0.3">
      <c r="A52" s="36" t="s">
        <v>71</v>
      </c>
      <c r="B52" s="37">
        <f>SUM(B3:B51)</f>
        <v>77</v>
      </c>
      <c r="C52" s="37"/>
      <c r="D52" s="38"/>
    </row>
  </sheetData>
  <autoFilter ref="A2:D52" xr:uid="{5854D520-8298-4C12-A24E-61A6558F195F}"/>
  <mergeCells count="19">
    <mergeCell ref="F17:G17"/>
    <mergeCell ref="F16:G16"/>
    <mergeCell ref="F2:H2"/>
    <mergeCell ref="F18:G18"/>
    <mergeCell ref="A27:A28"/>
    <mergeCell ref="A29:A30"/>
    <mergeCell ref="A22:A23"/>
    <mergeCell ref="A31:A34"/>
    <mergeCell ref="A47:A49"/>
    <mergeCell ref="A25:A26"/>
    <mergeCell ref="A39:A40"/>
    <mergeCell ref="A44:A45"/>
    <mergeCell ref="A1:D1"/>
    <mergeCell ref="A9:A10"/>
    <mergeCell ref="A16:A17"/>
    <mergeCell ref="A4:A5"/>
    <mergeCell ref="A18:A19"/>
    <mergeCell ref="A7:A8"/>
    <mergeCell ref="A13:A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8"/>
  <sheetViews>
    <sheetView tabSelected="1" topLeftCell="C28" workbookViewId="0">
      <selection activeCell="AG45" sqref="AG45"/>
    </sheetView>
  </sheetViews>
  <sheetFormatPr defaultRowHeight="12.75" x14ac:dyDescent="0.2"/>
  <cols>
    <col min="1" max="1" width="6.85546875" style="1" bestFit="1" customWidth="1"/>
    <col min="2" max="2" width="12.42578125" style="9" bestFit="1" customWidth="1"/>
    <col min="3" max="7" width="5.28515625" style="9" customWidth="1"/>
    <col min="8" max="9" width="6.5703125" style="9" bestFit="1" customWidth="1"/>
    <col min="10" max="10" width="5.5703125" style="9" bestFit="1" customWidth="1"/>
    <col min="11" max="15" width="5.28515625" style="9" customWidth="1"/>
    <col min="16" max="16" width="7.28515625" style="9" bestFit="1" customWidth="1"/>
    <col min="17" max="18" width="5.5703125" style="9" bestFit="1" customWidth="1"/>
    <col min="19" max="23" width="5.28515625" style="9" customWidth="1"/>
    <col min="24" max="24" width="6.5703125" style="9" bestFit="1" customWidth="1"/>
    <col min="25" max="26" width="5.5703125" style="9" bestFit="1" customWidth="1"/>
    <col min="27" max="27" width="6.42578125" style="93" customWidth="1"/>
    <col min="28" max="28" width="2.85546875" style="1" customWidth="1"/>
    <col min="29" max="29" width="5" style="9" customWidth="1"/>
    <col min="30" max="16384" width="9.140625" style="1"/>
  </cols>
  <sheetData>
    <row r="1" spans="1:31" ht="13.5" thickBot="1" x14ac:dyDescent="0.25">
      <c r="A1" s="335" t="s">
        <v>0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7"/>
      <c r="S1" s="337"/>
      <c r="T1" s="337"/>
      <c r="U1" s="337"/>
      <c r="V1" s="337"/>
      <c r="W1" s="337"/>
      <c r="X1" s="337"/>
      <c r="Y1" s="337"/>
      <c r="Z1" s="337"/>
      <c r="AA1" s="338"/>
    </row>
    <row r="2" spans="1:31" ht="12.75" customHeight="1" thickBot="1" x14ac:dyDescent="0.25">
      <c r="A2" s="336" t="s">
        <v>120</v>
      </c>
      <c r="B2" s="336"/>
      <c r="C2" s="336"/>
      <c r="D2" s="336"/>
      <c r="E2" s="336"/>
      <c r="F2" s="336"/>
      <c r="G2" s="345" t="s">
        <v>2</v>
      </c>
      <c r="H2" s="346"/>
      <c r="I2" s="346"/>
      <c r="J2" s="346"/>
      <c r="K2" s="343" t="s">
        <v>135</v>
      </c>
      <c r="L2" s="343"/>
      <c r="M2" s="344"/>
      <c r="N2" s="335" t="s">
        <v>18</v>
      </c>
      <c r="O2" s="336"/>
      <c r="P2" s="330" t="s">
        <v>134</v>
      </c>
      <c r="Q2" s="331"/>
      <c r="R2" s="341" t="s">
        <v>119</v>
      </c>
      <c r="S2" s="342"/>
      <c r="T2" s="339" t="s">
        <v>16</v>
      </c>
      <c r="U2" s="339"/>
      <c r="V2" s="339" t="s">
        <v>61</v>
      </c>
      <c r="W2" s="339"/>
      <c r="X2" s="339" t="s">
        <v>62</v>
      </c>
      <c r="Y2" s="339"/>
      <c r="Z2" s="339" t="s">
        <v>17</v>
      </c>
      <c r="AA2" s="340"/>
      <c r="AC2" s="307" t="s">
        <v>132</v>
      </c>
    </row>
    <row r="3" spans="1:31" ht="15.75" customHeight="1" thickBot="1" x14ac:dyDescent="0.25">
      <c r="A3" s="321" t="s">
        <v>7</v>
      </c>
      <c r="B3" s="321" t="s">
        <v>4</v>
      </c>
      <c r="C3" s="332" t="s">
        <v>88</v>
      </c>
      <c r="D3" s="333"/>
      <c r="E3" s="333"/>
      <c r="F3" s="333"/>
      <c r="G3" s="333"/>
      <c r="H3" s="333"/>
      <c r="I3" s="333"/>
      <c r="J3" s="334"/>
      <c r="K3" s="313" t="s">
        <v>89</v>
      </c>
      <c r="L3" s="314"/>
      <c r="M3" s="314"/>
      <c r="N3" s="314"/>
      <c r="O3" s="314"/>
      <c r="P3" s="314"/>
      <c r="Q3" s="314"/>
      <c r="R3" s="315"/>
      <c r="S3" s="313" t="s">
        <v>90</v>
      </c>
      <c r="T3" s="314"/>
      <c r="U3" s="314"/>
      <c r="V3" s="314"/>
      <c r="W3" s="314"/>
      <c r="X3" s="314"/>
      <c r="Y3" s="314"/>
      <c r="Z3" s="315"/>
      <c r="AA3" s="319" t="s">
        <v>5</v>
      </c>
      <c r="AC3" s="308"/>
    </row>
    <row r="4" spans="1:31" ht="13.5" thickBot="1" x14ac:dyDescent="0.25">
      <c r="A4" s="322"/>
      <c r="B4" s="322"/>
      <c r="C4" s="169" t="s">
        <v>91</v>
      </c>
      <c r="D4" s="170" t="s">
        <v>92</v>
      </c>
      <c r="E4" s="170" t="s">
        <v>93</v>
      </c>
      <c r="F4" s="170" t="s">
        <v>94</v>
      </c>
      <c r="G4" s="202" t="s">
        <v>95</v>
      </c>
      <c r="H4" s="71" t="s">
        <v>138</v>
      </c>
      <c r="I4" s="72" t="s">
        <v>109</v>
      </c>
      <c r="J4" s="73" t="s">
        <v>110</v>
      </c>
      <c r="K4" s="169" t="s">
        <v>91</v>
      </c>
      <c r="L4" s="170" t="s">
        <v>92</v>
      </c>
      <c r="M4" s="170" t="s">
        <v>93</v>
      </c>
      <c r="N4" s="170" t="s">
        <v>94</v>
      </c>
      <c r="O4" s="202" t="s">
        <v>95</v>
      </c>
      <c r="P4" s="71" t="s">
        <v>138</v>
      </c>
      <c r="Q4" s="72" t="s">
        <v>109</v>
      </c>
      <c r="R4" s="73" t="s">
        <v>110</v>
      </c>
      <c r="S4" s="169" t="s">
        <v>91</v>
      </c>
      <c r="T4" s="170" t="s">
        <v>92</v>
      </c>
      <c r="U4" s="170" t="s">
        <v>93</v>
      </c>
      <c r="V4" s="170" t="s">
        <v>94</v>
      </c>
      <c r="W4" s="171" t="s">
        <v>95</v>
      </c>
      <c r="X4" s="88" t="s">
        <v>138</v>
      </c>
      <c r="Y4" s="89" t="s">
        <v>109</v>
      </c>
      <c r="Z4" s="57" t="s">
        <v>110</v>
      </c>
      <c r="AA4" s="320"/>
      <c r="AC4" s="370"/>
    </row>
    <row r="5" spans="1:31" x14ac:dyDescent="0.2">
      <c r="A5" s="323" t="s">
        <v>8</v>
      </c>
      <c r="B5" s="301" t="s">
        <v>21</v>
      </c>
      <c r="C5" s="200">
        <v>152</v>
      </c>
      <c r="D5" s="182">
        <v>112</v>
      </c>
      <c r="E5" s="182">
        <v>104</v>
      </c>
      <c r="F5" s="182">
        <v>103</v>
      </c>
      <c r="G5" s="183">
        <v>100</v>
      </c>
      <c r="H5" s="85">
        <f>IF(B5="","",AVERAGE(C5:G5))</f>
        <v>114.2</v>
      </c>
      <c r="I5" s="81">
        <f>(LARGE(C5:G5,1))-(SMALL(C5:G5,1))</f>
        <v>52</v>
      </c>
      <c r="J5" s="82">
        <f>SQRT(((((C5-$H5)^2)+((D5-H5)^2)+((E5-H5)^2)+((F5-H5)^2)+((G5-H5)^2))/4))</f>
        <v>21.591665058535895</v>
      </c>
      <c r="K5" s="200">
        <v>85</v>
      </c>
      <c r="L5" s="182">
        <v>89</v>
      </c>
      <c r="M5" s="182">
        <v>85</v>
      </c>
      <c r="N5" s="182">
        <v>87</v>
      </c>
      <c r="O5" s="183">
        <v>90</v>
      </c>
      <c r="P5" s="85">
        <f>IF(B5="","",AVERAGE(K5:O5))</f>
        <v>87.2</v>
      </c>
      <c r="Q5" s="81">
        <f>(LARGE(K5:O5,1))-(SMALL(K5:O5,1))</f>
        <v>5</v>
      </c>
      <c r="R5" s="82">
        <f>SQRT(((((K5-$P5)^2)+((L5-$P5)^2)+((M5-$P5)^2)+((N5-$P5)^2)+((O5-$P5)^2))/4))</f>
        <v>2.2803508501982757</v>
      </c>
      <c r="S5" s="211">
        <v>79</v>
      </c>
      <c r="T5" s="182">
        <v>78</v>
      </c>
      <c r="U5" s="182">
        <v>77</v>
      </c>
      <c r="V5" s="182">
        <v>78</v>
      </c>
      <c r="W5" s="183">
        <v>79</v>
      </c>
      <c r="X5" s="203">
        <f>IF(B5="","",AVERAGE(S5:W5))</f>
        <v>78.2</v>
      </c>
      <c r="Y5" s="204">
        <f>(LARGE(S5:W5,1))-(SMALL(S5:W5,1))</f>
        <v>2</v>
      </c>
      <c r="Z5" s="205">
        <f>SQRT(((((S5-$X5)^2)+((T5-$X5)^2)+((U5-$X5)^2)+((V5-$X5)^2)+((W5-$X5)^2))/4))</f>
        <v>0.83666002653407556</v>
      </c>
      <c r="AA5" s="109">
        <f>IF(B5="","",AVERAGE(C5:G5,K5:O5,S5:W5))</f>
        <v>93.2</v>
      </c>
      <c r="AC5" s="147">
        <v>0</v>
      </c>
      <c r="AD5" s="1">
        <v>5</v>
      </c>
      <c r="AE5" s="1">
        <v>0</v>
      </c>
    </row>
    <row r="6" spans="1:31" x14ac:dyDescent="0.2">
      <c r="A6" s="324"/>
      <c r="B6" s="302" t="s">
        <v>22</v>
      </c>
      <c r="C6" s="194">
        <v>134</v>
      </c>
      <c r="D6" s="185">
        <v>104</v>
      </c>
      <c r="E6" s="185">
        <v>102</v>
      </c>
      <c r="F6" s="185">
        <v>100</v>
      </c>
      <c r="G6" s="186">
        <v>97</v>
      </c>
      <c r="H6" s="86">
        <f>IF(B6="","",AVERAGE(C6:G6))</f>
        <v>107.4</v>
      </c>
      <c r="I6" s="74">
        <f>(LARGE(C6:G6,1))-(SMALL(C6:G6,1))</f>
        <v>37</v>
      </c>
      <c r="J6" s="83">
        <f>SQRT(((((C6-$H6)^2)+((D6-H6)^2)+((E6-H6)^2)+((F6-H6)^2)+((G6-H6)^2))/4))</f>
        <v>15.093044755780724</v>
      </c>
      <c r="K6" s="26">
        <v>103</v>
      </c>
      <c r="L6" s="211">
        <v>88</v>
      </c>
      <c r="M6" s="185">
        <v>93</v>
      </c>
      <c r="N6" s="185">
        <v>90</v>
      </c>
      <c r="O6" s="186">
        <v>91</v>
      </c>
      <c r="P6" s="86">
        <f>IF(B6="","",AVERAGE(K6:O6))</f>
        <v>93</v>
      </c>
      <c r="Q6" s="74">
        <f>(LARGE(K6:O6,1))-(SMALL(K6:O6,1))</f>
        <v>15</v>
      </c>
      <c r="R6" s="83">
        <f>SQRT(((((K6-$P6)^2)+((L6-$P6)^2)+((M6-$P6)^2)+((N6-$P6)^2)+((O6-$P6)^2))/4))</f>
        <v>5.873670062235365</v>
      </c>
      <c r="S6" s="194">
        <v>80</v>
      </c>
      <c r="T6" s="185">
        <v>81</v>
      </c>
      <c r="U6" s="185">
        <v>84</v>
      </c>
      <c r="V6" s="185">
        <v>77</v>
      </c>
      <c r="W6" s="186">
        <v>79</v>
      </c>
      <c r="X6" s="86">
        <f>IF(B6="","",AVERAGE(S6:W6))</f>
        <v>80.2</v>
      </c>
      <c r="Y6" s="74">
        <f>(LARGE(S6:W6,1))-(SMALL(S6:W6,1))</f>
        <v>7</v>
      </c>
      <c r="Z6" s="83">
        <f>SQRT(((((S6-$X6)^2)+((T6-$X6)^2)+((U6-$X6)^2)+((V6-$X6)^2)+((W6-$X6)^2))/4))</f>
        <v>2.5884358211089569</v>
      </c>
      <c r="AA6" s="110">
        <f>IF(B6="","",AVERAGE(C6:G6,K6:O6,S6:W6))</f>
        <v>93.533333333333331</v>
      </c>
      <c r="AC6" s="147">
        <v>1</v>
      </c>
      <c r="AD6" s="1">
        <v>9</v>
      </c>
      <c r="AE6" s="1">
        <v>0</v>
      </c>
    </row>
    <row r="7" spans="1:31" x14ac:dyDescent="0.2">
      <c r="A7" s="324"/>
      <c r="B7" s="302" t="s">
        <v>23</v>
      </c>
      <c r="C7" s="194">
        <v>151</v>
      </c>
      <c r="D7" s="185">
        <v>109</v>
      </c>
      <c r="E7" s="185">
        <v>110</v>
      </c>
      <c r="F7" s="185">
        <v>101</v>
      </c>
      <c r="G7" s="186">
        <v>99</v>
      </c>
      <c r="H7" s="86">
        <f>IF(B7="","",AVERAGE(C7:G7))</f>
        <v>114</v>
      </c>
      <c r="I7" s="74">
        <f>(LARGE(C7:G7,1))-(SMALL(C7:G7,1))</f>
        <v>52</v>
      </c>
      <c r="J7" s="83">
        <f>SQRT(((((C7-$H7)^2)+((D7-H7)^2)+((E7-H7)^2)+((F7-H7)^2)+((G7-H7)^2))/4))</f>
        <v>21.236760581595302</v>
      </c>
      <c r="K7" s="211">
        <v>80</v>
      </c>
      <c r="L7" s="185">
        <v>77</v>
      </c>
      <c r="M7" s="26">
        <v>82</v>
      </c>
      <c r="N7" s="185">
        <v>74</v>
      </c>
      <c r="O7" s="186">
        <f>(Controle!O7+Controle!O17+Controle!O27+Controle!O37+Controle!$P$37+Controle!$P$27+Controle!$P$17+Controle!$P$7)/8</f>
        <v>78.025000000000006</v>
      </c>
      <c r="P7" s="86">
        <f>IF(B7="","",AVERAGE(K7:O7))</f>
        <v>78.204999999999998</v>
      </c>
      <c r="Q7" s="74">
        <f>(LARGE(K7:O7,1))-(SMALL(K7:O7,1))</f>
        <v>8</v>
      </c>
      <c r="R7" s="83">
        <f>SQRT(((((K7-$P7)^2)+((L7-$P7)^2)+((M7-$P7)^2)+((N7-$P7)^2)+((O7-$P7)^2))/4))</f>
        <v>3.0327586451941735</v>
      </c>
      <c r="S7" s="194">
        <v>81</v>
      </c>
      <c r="T7" s="185">
        <v>77</v>
      </c>
      <c r="U7" s="185">
        <v>78</v>
      </c>
      <c r="V7" s="185">
        <v>75</v>
      </c>
      <c r="W7" s="186">
        <v>74</v>
      </c>
      <c r="X7" s="86">
        <f>IF(B7="","",AVERAGE(S7:W7))</f>
        <v>77</v>
      </c>
      <c r="Y7" s="74">
        <f>(LARGE(S7:W7,1))-(SMALL(S7:W7,1))</f>
        <v>7</v>
      </c>
      <c r="Z7" s="83">
        <f>SQRT(((((S7-$X7)^2)+((T7-$X7)^2)+((U7-$X7)^2)+((V7-$X7)^2)+((W7-$X7)^2))/4))</f>
        <v>2.7386127875258306</v>
      </c>
      <c r="AA7" s="110">
        <f>IF(B7="","",AVERAGE(C7:G7,K7:O7,S7:W7))</f>
        <v>89.734999999999999</v>
      </c>
      <c r="AC7" s="147">
        <v>1</v>
      </c>
      <c r="AD7" s="1">
        <v>10</v>
      </c>
      <c r="AE7" s="1">
        <v>1</v>
      </c>
    </row>
    <row r="8" spans="1:31" ht="13.5" thickBot="1" x14ac:dyDescent="0.25">
      <c r="A8" s="324"/>
      <c r="B8" s="303" t="s">
        <v>24</v>
      </c>
      <c r="C8" s="199">
        <v>148</v>
      </c>
      <c r="D8" s="198">
        <v>112</v>
      </c>
      <c r="E8" s="198">
        <v>102</v>
      </c>
      <c r="F8" s="198">
        <v>101</v>
      </c>
      <c r="G8" s="201">
        <v>102</v>
      </c>
      <c r="H8" s="87">
        <f>IF(B8="","",AVERAGE(C8:G8))</f>
        <v>113</v>
      </c>
      <c r="I8" s="80">
        <f>(LARGE(C8:G8,1))-(SMALL(C8:G8,1))</f>
        <v>47</v>
      </c>
      <c r="J8" s="84">
        <f>SQRT(((((C8-$H8)^2)+((D8-H8)^2)+((E8-H8)^2)+((F8-H8)^2)+((G8-H8)^2))/4))</f>
        <v>20.074859899884732</v>
      </c>
      <c r="K8" s="211">
        <v>84</v>
      </c>
      <c r="L8" s="198">
        <v>81</v>
      </c>
      <c r="M8" s="198">
        <v>82</v>
      </c>
      <c r="N8" s="198">
        <v>75</v>
      </c>
      <c r="O8" s="201">
        <v>76</v>
      </c>
      <c r="P8" s="87">
        <f>IF(B8="","",AVERAGE(K8:O8))</f>
        <v>79.599999999999994</v>
      </c>
      <c r="Q8" s="80">
        <f>(LARGE(K8:O8,1))-(SMALL(K8:O8,1))</f>
        <v>9</v>
      </c>
      <c r="R8" s="84">
        <f>SQRT(((((K8-$P8)^2)+((L8-$P8)^2)+((M8-$P8)^2)+((N8-$P8)^2)+((O8-$P8)^2))/4))</f>
        <v>3.9115214431215892</v>
      </c>
      <c r="S8" s="199">
        <v>74</v>
      </c>
      <c r="T8" s="198">
        <v>75</v>
      </c>
      <c r="U8" s="198">
        <v>70</v>
      </c>
      <c r="V8" s="198">
        <v>71</v>
      </c>
      <c r="W8" s="201">
        <v>72</v>
      </c>
      <c r="X8" s="87">
        <f>IF(B8="","",AVERAGE(S8:W8))</f>
        <v>72.400000000000006</v>
      </c>
      <c r="Y8" s="80">
        <f>(LARGE(S8:W8,1))-(SMALL(S8:W8,1))</f>
        <v>5</v>
      </c>
      <c r="Z8" s="84">
        <f>SQRT(((((S8-$X8)^2)+((T8-$X8)^2)+((U8-$X8)^2)+((V8-$X8)^2)+((W8-$X8)^2))/4))</f>
        <v>2.0736441353327719</v>
      </c>
      <c r="AA8" s="111">
        <f>IF(B8="","",AVERAGE(C8:G8,K8:O8,S8:W8))</f>
        <v>88.333333333333329</v>
      </c>
      <c r="AC8" s="147">
        <v>0</v>
      </c>
      <c r="AD8" s="1">
        <v>10</v>
      </c>
      <c r="AE8" s="1">
        <v>0</v>
      </c>
    </row>
    <row r="9" spans="1:31" ht="13.5" thickBot="1" x14ac:dyDescent="0.25">
      <c r="A9" s="325"/>
      <c r="B9" s="3" t="s">
        <v>6</v>
      </c>
      <c r="C9" s="125">
        <f>IF(C5="","",AVERAGE(C5:C8))</f>
        <v>146.25</v>
      </c>
      <c r="D9" s="170">
        <f t="shared" ref="D9:G9" si="0">IF(D5="","",AVERAGE(D5:D8))</f>
        <v>109.25</v>
      </c>
      <c r="E9" s="170">
        <f t="shared" si="0"/>
        <v>104.5</v>
      </c>
      <c r="F9" s="170">
        <f t="shared" si="0"/>
        <v>101.25</v>
      </c>
      <c r="G9" s="202">
        <f t="shared" si="0"/>
        <v>99.5</v>
      </c>
      <c r="H9" s="118">
        <f>(SUM(H5:H8))/4</f>
        <v>112.15</v>
      </c>
      <c r="I9" s="119">
        <f>AVERAGE(I5:I8)</f>
        <v>47</v>
      </c>
      <c r="J9" s="120">
        <f>(SUM(J5:J8))/20</f>
        <v>3.8998165147898325</v>
      </c>
      <c r="K9" s="125">
        <f>IF(K5="","",AVERAGE(K5:K8))</f>
        <v>88</v>
      </c>
      <c r="L9" s="170">
        <f>IF(L5="","",AVERAGE(L5:L8))</f>
        <v>83.75</v>
      </c>
      <c r="M9" s="170">
        <f t="shared" ref="M9:N9" si="1">IF(M5="","",AVERAGE(M5:M8))</f>
        <v>85.5</v>
      </c>
      <c r="N9" s="170">
        <f t="shared" si="1"/>
        <v>81.5</v>
      </c>
      <c r="O9" s="202">
        <f>IF(O5="","",AVERAGE(O5:O8))</f>
        <v>83.756249999999994</v>
      </c>
      <c r="P9" s="118">
        <f>(SUM(P5:P8))/4</f>
        <v>84.501249999999999</v>
      </c>
      <c r="Q9" s="119">
        <f>AVERAGE(Q5:Q8)</f>
        <v>9.25</v>
      </c>
      <c r="R9" s="120">
        <f>(SUM(R5:R8))/20</f>
        <v>0.75491505003747017</v>
      </c>
      <c r="S9" s="115">
        <f>IF(S5="","",AVERAGE(S5:S8))</f>
        <v>78.5</v>
      </c>
      <c r="T9" s="116">
        <f>IF(T5="","",AVERAGE(T5:T8))</f>
        <v>77.75</v>
      </c>
      <c r="U9" s="116">
        <f t="shared" ref="U9:V9" si="2">IF(U5="","",AVERAGE(U5:U8))</f>
        <v>77.25</v>
      </c>
      <c r="V9" s="116">
        <f t="shared" si="2"/>
        <v>75.25</v>
      </c>
      <c r="W9" s="117">
        <f>IF(W5="","",AVERAGE(W5:W8))</f>
        <v>76</v>
      </c>
      <c r="X9" s="118">
        <f>(SUM(X5:X8))/4</f>
        <v>76.95</v>
      </c>
      <c r="Y9" s="119">
        <f>AVERAGE(Y5:Y8)</f>
        <v>5.25</v>
      </c>
      <c r="Z9" s="120">
        <f>(SUM(Z5:Z8))/20</f>
        <v>0.41186763852508179</v>
      </c>
      <c r="AA9" s="122">
        <f>(H9+P9+X9)/3</f>
        <v>91.200416666666669</v>
      </c>
      <c r="AC9" s="148">
        <f>SUM(AC5:AC8)</f>
        <v>2</v>
      </c>
    </row>
    <row r="10" spans="1:31" x14ac:dyDescent="0.2">
      <c r="A10" s="323" t="s">
        <v>9</v>
      </c>
      <c r="B10" s="304" t="s">
        <v>25</v>
      </c>
      <c r="C10" s="187">
        <f>(Controle!C10+Controle!C20+Controle!C30+Controle!C40+Controle!$H40+Controle!$H30+Controle!$H20+Controle!$H10)/8</f>
        <v>188.45000000000002</v>
      </c>
      <c r="D10" s="188">
        <f>(Controle!D10+Controle!D20+Controle!D30+Controle!D40+Controle!$H40+Controle!$H30+Controle!$H20+Controle!$H10)/8</f>
        <v>161.57500000000002</v>
      </c>
      <c r="E10" s="28">
        <f>(Controle!E10+Controle!E20+Controle!E30+Controle!E40+Controle!$H40+Controle!$H30+Controle!$H20+Controle!$H10)/8</f>
        <v>170.20000000000002</v>
      </c>
      <c r="F10" s="188">
        <f>(Controle!F10+Controle!F20+Controle!F30+Controle!F40+Controle!$H40+Controle!$H30+Controle!$H20+Controle!$H10)/8</f>
        <v>148.19999999999999</v>
      </c>
      <c r="G10" s="189">
        <f>(Controle!G10+Controle!G20+Controle!G30+Controle!G40+Controle!$H40+Controle!$H30+Controle!$H20+Controle!$H10)/8</f>
        <v>164.82500000000002</v>
      </c>
      <c r="H10" s="85">
        <f>IF(B10="","",AVERAGE(C10:G10))</f>
        <v>166.65</v>
      </c>
      <c r="I10" s="81">
        <f>(LARGE(C10:G10,1))-(SMALL(C10:G10,1))</f>
        <v>40.250000000000028</v>
      </c>
      <c r="J10" s="82">
        <f>SQRT(((((C10-$H10)^2)+((D10-H10)^2)+((E10-H10)^2)+((F10-H10)^2)+((G10-H10)^2))/4))</f>
        <v>14.640109716118944</v>
      </c>
      <c r="K10" s="187">
        <f>(Controle!K10+Controle!K20+Controle!K30+Controle!K40+Controle!$P40+Controle!$P30+Controle!$P20+Controle!$P10)/8</f>
        <v>119.325</v>
      </c>
      <c r="L10" s="28">
        <f>(Controle!L10+Controle!L20+Controle!L30+Controle!L40+Controle!$P40+Controle!$P30+Controle!$P20+Controle!$P10)/8</f>
        <v>130.07500000000002</v>
      </c>
      <c r="M10" s="188">
        <f>(Controle!M10+Controle!M20+Controle!M30+Controle!M40+Controle!$P40+Controle!$P30+Controle!$P20+Controle!$P10)/8</f>
        <v>117.2</v>
      </c>
      <c r="N10" s="188">
        <f>(Controle!N10+Controle!N20+Controle!N30+Controle!N40+Controle!$P40+Controle!$P30+Controle!$P20+Controle!$P10)/8</f>
        <v>113.2</v>
      </c>
      <c r="O10" s="189">
        <v>110</v>
      </c>
      <c r="P10" s="85">
        <f>IF(B10="","",AVERAGE(K10:O10))</f>
        <v>117.96</v>
      </c>
      <c r="Q10" s="81">
        <f>(LARGE(K10:O10,1))-(SMALL(K10:O10,1))</f>
        <v>20.075000000000017</v>
      </c>
      <c r="R10" s="150">
        <f>SQRT(((((K10-$P10)^2)+((L10-$P10)^2)+((M10-$P10)^2)+((N10-$P10)^2)+((O10-$P10)^2))/4))</f>
        <v>7.6686578030317731</v>
      </c>
      <c r="S10" s="211">
        <f>(Controle!S10+Controle!S20+Controle!S30+Controle!S40+Controle!$X40+Controle!$X30+Controle!$X20+Controle!$X10)/8</f>
        <v>101.6</v>
      </c>
      <c r="T10" s="188">
        <v>100</v>
      </c>
      <c r="U10" s="188">
        <v>98</v>
      </c>
      <c r="V10" s="28">
        <v>106</v>
      </c>
      <c r="W10" s="189">
        <v>95</v>
      </c>
      <c r="X10" s="153">
        <f>IF(B10="","",AVERAGE(S10:W10))</f>
        <v>100.12</v>
      </c>
      <c r="Y10" s="81">
        <f>(LARGE(S10:W10,1))-(SMALL(S10:W10,1))</f>
        <v>11</v>
      </c>
      <c r="Z10" s="82">
        <f>SQRT(((((S10-$X10)^2)+((T10-$X10)^2)+((U10-$X10)^2)+((V10-$X10)^2)+((W10-$X10)^2))/4))</f>
        <v>4.1075540166868159</v>
      </c>
      <c r="AA10" s="112">
        <f>IF(B10="","",AVERAGE(C10:G10,K10:O10,S10:W10))</f>
        <v>128.24333333333334</v>
      </c>
      <c r="AC10" s="147">
        <v>3</v>
      </c>
      <c r="AD10" s="1">
        <v>5</v>
      </c>
      <c r="AE10" s="1">
        <v>1</v>
      </c>
    </row>
    <row r="11" spans="1:31" x14ac:dyDescent="0.2">
      <c r="A11" s="324"/>
      <c r="B11" s="302" t="s">
        <v>26</v>
      </c>
      <c r="C11" s="184">
        <f>(Controle!C11+Controle!C21+Controle!C31+Controle!C41+Controle!$H41+Controle!$H31+Controle!$H21+Controle!$H11)/8</f>
        <v>165.67500000000001</v>
      </c>
      <c r="D11" s="185">
        <f>(Controle!D11+Controle!D21+Controle!D31+Controle!D41+Controle!$H41+Controle!$H31+Controle!$H21+Controle!$H11)/8</f>
        <v>139.67500000000001</v>
      </c>
      <c r="E11" s="185">
        <f>(Controle!E11+Controle!E21+Controle!E31+Controle!E41+Controle!$H41+Controle!$H31+Controle!$H21+Controle!$H11)/8</f>
        <v>141.42500000000001</v>
      </c>
      <c r="F11" s="185">
        <f>(Controle!F11+Controle!F21+Controle!F31+Controle!F41+Controle!$H41+Controle!$H31+Controle!$H21+Controle!$H11)/8</f>
        <v>124.55</v>
      </c>
      <c r="G11" s="190">
        <f>(Controle!G11+Controle!G21+Controle!G31+Controle!G41+Controle!$H41+Controle!$H31+Controle!$H21+Controle!$H11)/8</f>
        <v>121.675</v>
      </c>
      <c r="H11" s="86">
        <f>IF(B11="","",AVERAGE(C11:G11))</f>
        <v>138.6</v>
      </c>
      <c r="I11" s="74">
        <f>(LARGE(C11:G11,1))-(SMALL(C11:G11,1))</f>
        <v>44.000000000000014</v>
      </c>
      <c r="J11" s="83">
        <f>SQRT(((((C11-$H11)^2)+((D11-H11)^2)+((E11-H11)^2)+((F11-H11)^2)+((G11-H11)^2))/4))</f>
        <v>17.507498393545557</v>
      </c>
      <c r="K11" s="26">
        <v>101</v>
      </c>
      <c r="L11" s="185">
        <v>96</v>
      </c>
      <c r="M11" s="211">
        <v>92</v>
      </c>
      <c r="N11" s="185">
        <v>91</v>
      </c>
      <c r="O11" s="190">
        <v>94</v>
      </c>
      <c r="P11" s="86">
        <f>IF(B11="","",AVERAGE(K11:O11))</f>
        <v>94.8</v>
      </c>
      <c r="Q11" s="74">
        <f>(LARGE(K11:O11,1))-(SMALL(K11:O11,1))</f>
        <v>10</v>
      </c>
      <c r="R11" s="151">
        <f>SQRT(((((K11-$P11)^2)+((L11-$P11)^2)+((M11-$P11)^2)+((N11-$P11)^2)+((O11-$P11)^2))/4))</f>
        <v>3.9623225512317894</v>
      </c>
      <c r="S11" s="14">
        <f>(Controle!S11+Controle!S21+Controle!S31+Controle!S41+Controle!$X41+Controle!$X31+Controle!$X21+Controle!$X11)/8</f>
        <v>103.00000000000001</v>
      </c>
      <c r="T11" s="185">
        <v>86</v>
      </c>
      <c r="U11" s="185">
        <v>89</v>
      </c>
      <c r="V11" s="185">
        <v>87</v>
      </c>
      <c r="W11" s="190">
        <f>(Controle!W11+Controle!W21+Controle!W31+Controle!W41+Controle!$X41+Controle!$X31+Controle!$X21+Controle!$X11)/8</f>
        <v>88.000000000000014</v>
      </c>
      <c r="X11" s="154">
        <f>IF(B11="","",AVERAGE(S11:W11))</f>
        <v>90.6</v>
      </c>
      <c r="Y11" s="74">
        <f>(LARGE(S11:W11,1))-(SMALL(S11:W11,1))</f>
        <v>17.000000000000014</v>
      </c>
      <c r="Z11" s="83">
        <f>SQRT(((((S11-$X11)^2)+((T11-$X11)^2)+((U11-$X11)^2)+((V11-$X11)^2)+((W11-$X11)^2))/4))</f>
        <v>7.0213958726167878</v>
      </c>
      <c r="AA11" s="113">
        <f>IF(B11="","",AVERAGE(C11:G11,K11:O11,S11:W11))</f>
        <v>108</v>
      </c>
      <c r="AC11" s="147">
        <v>2</v>
      </c>
      <c r="AD11" s="1">
        <v>8</v>
      </c>
      <c r="AE11" s="1">
        <v>1</v>
      </c>
    </row>
    <row r="12" spans="1:31" x14ac:dyDescent="0.2">
      <c r="A12" s="324"/>
      <c r="B12" s="302" t="s">
        <v>27</v>
      </c>
      <c r="C12" s="184">
        <f>(Controle!C12+Controle!C22+Controle!C32+Controle!C42+Controle!$H42+Controle!$H32+Controle!$H22+Controle!$H12)/8</f>
        <v>175.04999999999998</v>
      </c>
      <c r="D12" s="185">
        <f>(Controle!D12+Controle!D22+Controle!D32+Controle!D42+Controle!$H42+Controle!$H32+Controle!$H22+Controle!$H12)/8</f>
        <v>147.92499999999998</v>
      </c>
      <c r="E12" s="185">
        <f>(Controle!E12+Controle!E22+Controle!E32+Controle!E42+Controle!$H42+Controle!$H32+Controle!$H22+Controle!$H12)/8</f>
        <v>138.05000000000001</v>
      </c>
      <c r="F12" s="185">
        <f>(Controle!F12+Controle!F22+Controle!F32+Controle!F42+Controle!$H42+Controle!$H32+Controle!$H22+Controle!$H12)/8</f>
        <v>133.30000000000001</v>
      </c>
      <c r="G12" s="190">
        <f>(Controle!G12+Controle!G22+Controle!G32+Controle!G42+Controle!$H42+Controle!$H32+Controle!$H22+Controle!$H12)/8</f>
        <v>133.67500000000001</v>
      </c>
      <c r="H12" s="86">
        <f>IF(B12="","",AVERAGE(C12:G12))</f>
        <v>145.6</v>
      </c>
      <c r="I12" s="74">
        <f>(LARGE(C12:G12,1))-(SMALL(C12:G12,1))</f>
        <v>41.749999999999972</v>
      </c>
      <c r="J12" s="83">
        <f>SQRT(((((C12-$H12)^2)+((D12-H12)^2)+((E12-H12)^2)+((F12-H12)^2)+((G12-H12)^2))/4))</f>
        <v>17.487182806272699</v>
      </c>
      <c r="K12" s="184">
        <f>(Controle!K12+Controle!K22+Controle!K32+Controle!K42+Controle!$P42+Controle!$P32+Controle!$P22+Controle!$P12)/8</f>
        <v>105.35000000000001</v>
      </c>
      <c r="L12" s="211">
        <f>(Controle!L12+Controle!L22+Controle!L32+Controle!L42+Controle!$P42+Controle!$P32+Controle!$P22+Controle!$P12)/8</f>
        <v>103.97500000000001</v>
      </c>
      <c r="M12" s="182">
        <f>(Controle!M12+Controle!M22+Controle!M32+Controle!M42+Controle!$P42+Controle!$P32+Controle!$P22+Controle!$P12)/8</f>
        <v>105.85000000000001</v>
      </c>
      <c r="N12" s="185">
        <f>(Controle!N12+Controle!N22+Controle!N32+Controle!N42+Controle!$P42+Controle!$P32+Controle!$P22+Controle!$P12)/8</f>
        <v>106.60000000000001</v>
      </c>
      <c r="O12" s="190">
        <f>(Controle!O12+Controle!O22+Controle!O32+Controle!O42+Controle!$P42+Controle!$P32+Controle!$P22+Controle!$P12)/8</f>
        <v>102.97500000000001</v>
      </c>
      <c r="P12" s="86">
        <f>IF(B12="","",AVERAGE(K12:O12))</f>
        <v>104.95</v>
      </c>
      <c r="Q12" s="74">
        <f>(LARGE(K12:O12,1))-(SMALL(K12:O12,1))</f>
        <v>3.625</v>
      </c>
      <c r="R12" s="151">
        <f>SQRT(((((K12-$P12)^2)+((L12-$P12)^2)+((M12-$P12)^2)+((N12-$P12)^2)+((O12-$P12)^2))/4))</f>
        <v>1.461484690306402</v>
      </c>
      <c r="S12" s="184">
        <v>95</v>
      </c>
      <c r="T12" s="185">
        <v>92</v>
      </c>
      <c r="U12" s="185">
        <v>91</v>
      </c>
      <c r="V12" s="185">
        <v>93</v>
      </c>
      <c r="W12" s="190">
        <v>94</v>
      </c>
      <c r="X12" s="154">
        <f>IF(B12="","",AVERAGE(S12:W12))</f>
        <v>93</v>
      </c>
      <c r="Y12" s="74">
        <f>(LARGE(S12:W12,1))-(SMALL(S12:W12,1))</f>
        <v>4</v>
      </c>
      <c r="Z12" s="83">
        <f>SQRT(((((S12-$X12)^2)+((T12-$X12)^2)+((U12-$X12)^2)+((V12-$X12)^2)+((W12-$X12)^2))/4))</f>
        <v>1.5811388300841898</v>
      </c>
      <c r="AA12" s="113">
        <f>IF(B12="","",AVERAGE(C12:G12,K12:O12,S12:W12))</f>
        <v>114.51666666666665</v>
      </c>
      <c r="AC12" s="147">
        <v>0</v>
      </c>
      <c r="AD12" s="1">
        <v>9</v>
      </c>
      <c r="AE12" s="1">
        <v>0</v>
      </c>
    </row>
    <row r="13" spans="1:31" ht="13.5" thickBot="1" x14ac:dyDescent="0.25">
      <c r="A13" s="324"/>
      <c r="B13" s="305" t="s">
        <v>28</v>
      </c>
      <c r="C13" s="191">
        <f>(Controle!C13+Controle!C23+Controle!C33+Controle!C43+Controle!$H43+Controle!$H33+Controle!$H23+Controle!$H13)/8</f>
        <v>169.70000000000002</v>
      </c>
      <c r="D13" s="192">
        <f>(Controle!D13+Controle!D23+Controle!D33+Controle!D43+Controle!$H43+Controle!$H33+Controle!$H23+Controle!$H13)/8</f>
        <v>142.07499999999999</v>
      </c>
      <c r="E13" s="192">
        <f>(Controle!E13+Controle!E23+Controle!E33+Controle!E43+Controle!$H43+Controle!$H33+Controle!$H23+Controle!$H13)/8</f>
        <v>134.19999999999999</v>
      </c>
      <c r="F13" s="26">
        <f>(Controle!F13+Controle!F23+Controle!F33+Controle!F43+Controle!$H43+Controle!$H33+Controle!$H23+Controle!$H13)/8</f>
        <v>125.45</v>
      </c>
      <c r="G13" s="193">
        <f>(Controle!G13+Controle!G23+Controle!G33+Controle!G43+Controle!$H43+Controle!$H33+Controle!$H23+Controle!$H13)/8</f>
        <v>131.82499999999999</v>
      </c>
      <c r="H13" s="206">
        <f>IF(B13="","",AVERAGE(C13:G13))</f>
        <v>140.65</v>
      </c>
      <c r="I13" s="207">
        <f>(LARGE(C13:G13,1))-(SMALL(C13:G13,1))</f>
        <v>44.250000000000014</v>
      </c>
      <c r="J13" s="208">
        <f>SQRT(((((C13-$H13)^2)+((D13-H13)^2)+((E13-H13)^2)+((F13-H13)^2)+((G13-H13)^2))/4))</f>
        <v>17.294914353647442</v>
      </c>
      <c r="K13" s="211">
        <v>97</v>
      </c>
      <c r="L13" s="192">
        <v>94</v>
      </c>
      <c r="M13" s="192">
        <v>92</v>
      </c>
      <c r="N13" s="192">
        <v>94</v>
      </c>
      <c r="O13" s="193">
        <f>(Controle!O13+Controle!O23+Controle!O33+Controle!O43+Controle!$P43+Controle!$P33+Controle!$P23+Controle!$P13)/8</f>
        <v>94</v>
      </c>
      <c r="P13" s="206">
        <f>IF(B13="","",AVERAGE(K13:O13))</f>
        <v>94.2</v>
      </c>
      <c r="Q13" s="207">
        <f>(LARGE(K13:O13,1))-(SMALL(K13:O13,1))</f>
        <v>5</v>
      </c>
      <c r="R13" s="209">
        <f>SQRT(((((K13-$P13)^2)+((L13-$P13)^2)+((M13-$P13)^2)+((N13-$P13)^2)+((O13-$P13)^2))/4))</f>
        <v>1.7888543819998317</v>
      </c>
      <c r="S13" s="212">
        <v>88</v>
      </c>
      <c r="T13" s="213">
        <v>83</v>
      </c>
      <c r="U13" s="198">
        <v>87</v>
      </c>
      <c r="V13" s="198">
        <v>85</v>
      </c>
      <c r="W13" s="214">
        <v>84</v>
      </c>
      <c r="X13" s="210">
        <f>IF(B13="","",AVERAGE(S13:W13))</f>
        <v>85.4</v>
      </c>
      <c r="Y13" s="207">
        <f>(LARGE(S13:W13,1))-(SMALL(S13:W13,1))</f>
        <v>5</v>
      </c>
      <c r="Z13" s="208">
        <f>SQRT(((((S13-$X13)^2)+((T13-$X13)^2)+((U13-$X13)^2)+((V13-$X13)^2)+((W13-$X13)^2))/4))</f>
        <v>2.0736441353327719</v>
      </c>
      <c r="AA13" s="113">
        <f>IF(B13="","",AVERAGE(C13:G13,K13:O13,S13:W13))</f>
        <v>106.75</v>
      </c>
      <c r="AC13" s="147">
        <v>1</v>
      </c>
      <c r="AD13" s="1">
        <v>10</v>
      </c>
      <c r="AE13" s="1">
        <v>1</v>
      </c>
    </row>
    <row r="14" spans="1:31" ht="13.5" thickBot="1" x14ac:dyDescent="0.25">
      <c r="A14" s="325"/>
      <c r="B14" s="3" t="s">
        <v>6</v>
      </c>
      <c r="C14" s="123">
        <f>IF(C10="","",AVERAGE(C10:C13))</f>
        <v>174.71875</v>
      </c>
      <c r="D14" s="76">
        <f t="shared" ref="D14:G14" si="3">IF(D10="","",AVERAGE(D10:D13))</f>
        <v>147.8125</v>
      </c>
      <c r="E14" s="76">
        <f t="shared" si="3"/>
        <v>145.96875</v>
      </c>
      <c r="F14" s="76">
        <f t="shared" si="3"/>
        <v>132.875</v>
      </c>
      <c r="G14" s="124">
        <f t="shared" si="3"/>
        <v>138</v>
      </c>
      <c r="H14" s="195">
        <f>(SUM(H10:H13))/4</f>
        <v>147.875</v>
      </c>
      <c r="I14" s="196">
        <f>AVERAGE(I10:I13)</f>
        <v>42.562500000000007</v>
      </c>
      <c r="J14" s="197">
        <f>(SUM(J10:J13))/20</f>
        <v>3.3464852634792321</v>
      </c>
      <c r="K14" s="126">
        <f>IF(K10="","",AVERAGE(K10:K13))</f>
        <v>105.66875</v>
      </c>
      <c r="L14" s="127">
        <f>IF(L10="","",AVERAGE(L10:L13))</f>
        <v>106.0125</v>
      </c>
      <c r="M14" s="127">
        <f t="shared" ref="M14:N14" si="4">IF(M10="","",AVERAGE(M10:M13))</f>
        <v>101.7625</v>
      </c>
      <c r="N14" s="127">
        <f t="shared" si="4"/>
        <v>101.2</v>
      </c>
      <c r="O14" s="128">
        <f>IF(O10="","",AVERAGE(O10:O13))</f>
        <v>100.24375000000001</v>
      </c>
      <c r="P14" s="195">
        <f>(SUM(P10:P13))/4</f>
        <v>102.97749999999999</v>
      </c>
      <c r="Q14" s="196">
        <f>AVERAGE(Q10:Q13)</f>
        <v>9.6750000000000043</v>
      </c>
      <c r="R14" s="197">
        <f>(SUM(R10:R13))/20</f>
        <v>0.74406597132848984</v>
      </c>
      <c r="S14" s="169">
        <f>IF(S10="","",AVERAGE(S10:S13))</f>
        <v>96.9</v>
      </c>
      <c r="T14" s="170">
        <f>IF(T10="","",AVERAGE(T10:T13))</f>
        <v>90.25</v>
      </c>
      <c r="U14" s="170">
        <f t="shared" ref="U14:V14" si="5">IF(U10="","",AVERAGE(U10:U13))</f>
        <v>91.25</v>
      </c>
      <c r="V14" s="170">
        <f t="shared" si="5"/>
        <v>92.75</v>
      </c>
      <c r="W14" s="171">
        <v>0</v>
      </c>
      <c r="X14" s="118">
        <f>(SUM(X10:X13))/4</f>
        <v>92.28</v>
      </c>
      <c r="Y14" s="119">
        <f>AVERAGE(Y10:Y13)</f>
        <v>9.2500000000000036</v>
      </c>
      <c r="Z14" s="120">
        <f>(SUM(Z10:Z13))/20</f>
        <v>0.7391866427360283</v>
      </c>
      <c r="AA14" s="122">
        <f>(H14+P14+X14)/3</f>
        <v>114.3775</v>
      </c>
      <c r="AC14" s="148">
        <f>SUM(AC10:AC13)</f>
        <v>6</v>
      </c>
    </row>
    <row r="15" spans="1:31" x14ac:dyDescent="0.2">
      <c r="A15" s="316" t="s">
        <v>10</v>
      </c>
      <c r="B15" s="301" t="s">
        <v>20</v>
      </c>
      <c r="C15" s="194">
        <f>(Controle!C5+Controle!C15+Controle!C25+Controle!C35)/4</f>
        <v>190.25</v>
      </c>
      <c r="D15" s="185">
        <f>(Controle!D5+Controle!D15+Controle!D25+Controle!D35)/4</f>
        <v>109.75</v>
      </c>
      <c r="E15" s="185">
        <v>92</v>
      </c>
      <c r="F15" s="185">
        <v>94</v>
      </c>
      <c r="G15" s="186">
        <f>(Controle!G5+Controle!G15+Controle!G25+Controle!G35)/4</f>
        <v>85</v>
      </c>
      <c r="H15" s="85">
        <f>IF(B15="","",AVERAGE(C15:G15))</f>
        <v>114.2</v>
      </c>
      <c r="I15" s="81">
        <f>(LARGE(C15:G15,1))-(SMALL(C15:G15,1))</f>
        <v>105.25</v>
      </c>
      <c r="J15" s="150">
        <f>SQRT(((((C15-$H15)^2)+((D15-H15)^2)+((E15-H15)^2)+((F15-H15)^2)+((G15-H15)^2))/4))</f>
        <v>43.465287874348654</v>
      </c>
      <c r="K15" s="219">
        <v>83</v>
      </c>
      <c r="L15" s="28">
        <v>91</v>
      </c>
      <c r="M15" s="188">
        <v>82</v>
      </c>
      <c r="N15" s="188">
        <v>86</v>
      </c>
      <c r="O15" s="172">
        <v>93</v>
      </c>
      <c r="P15" s="153">
        <f>IF(B15="","",AVERAGE(K15:O15))</f>
        <v>87</v>
      </c>
      <c r="Q15" s="81">
        <f>(LARGE(K15:O15,1))-(SMALL(K15:O15,1))</f>
        <v>11</v>
      </c>
      <c r="R15" s="82">
        <f>SQRT(((((K15-$P15)^2)+((L15-$P15)^2)+((M15-$P15)^2)+((N15-$P15)^2)+((O15-$P15)^2))/4))</f>
        <v>4.8476798574163293</v>
      </c>
      <c r="S15" s="194">
        <v>79</v>
      </c>
      <c r="T15" s="185">
        <v>78</v>
      </c>
      <c r="U15" s="185">
        <v>77</v>
      </c>
      <c r="V15" s="185">
        <v>76</v>
      </c>
      <c r="W15" s="186">
        <v>80</v>
      </c>
      <c r="X15" s="85">
        <f>IF(B15="","",AVERAGE(S15:W15))</f>
        <v>78</v>
      </c>
      <c r="Y15" s="81">
        <f>(LARGE(S15:W15,1))-(SMALL(S15:W15,1))</f>
        <v>4</v>
      </c>
      <c r="Z15" s="82">
        <f>SQRT(((((S15-$X15)^2)+((T15-$X15)^2)+((U15-$X15)^2)+((V15-$X15)^2)+((W15-$X15)^2))/4))</f>
        <v>1.5811388300841898</v>
      </c>
      <c r="AA15" s="114">
        <f>IF(B15="","",AVERAGE(C15:G15,K15:O15,S15:W15))</f>
        <v>93.066666666666663</v>
      </c>
      <c r="AB15" s="9"/>
      <c r="AC15" s="147">
        <v>2</v>
      </c>
      <c r="AD15" s="1">
        <v>10</v>
      </c>
      <c r="AE15" s="1">
        <v>2</v>
      </c>
    </row>
    <row r="16" spans="1:31" x14ac:dyDescent="0.2">
      <c r="A16" s="317"/>
      <c r="B16" s="302" t="s">
        <v>29</v>
      </c>
      <c r="C16" s="194">
        <f>(Controle!C6+Controle!C16+Controle!C26+Controle!C36)/4</f>
        <v>159.75</v>
      </c>
      <c r="D16" s="185">
        <f>(Controle!D6+Controle!D16+Controle!D26+Controle!D36)/4</f>
        <v>101</v>
      </c>
      <c r="E16" s="185">
        <v>97</v>
      </c>
      <c r="F16" s="185">
        <v>93</v>
      </c>
      <c r="G16" s="186">
        <v>87</v>
      </c>
      <c r="H16" s="86">
        <f>IF(B16="","",AVERAGE(C16:G16))</f>
        <v>107.55</v>
      </c>
      <c r="I16" s="74">
        <f>(LARGE(C16:G16,1))-(SMALL(C16:G16,1))</f>
        <v>72.75</v>
      </c>
      <c r="J16" s="151">
        <f>SQRT(((((C16-$H16)^2)+((D16-H16)^2)+((E16-H16)^2)+((F16-H16)^2)+((G16-H16)^2))/4))</f>
        <v>29.635493921984832</v>
      </c>
      <c r="K16" s="184">
        <v>94</v>
      </c>
      <c r="L16" s="185">
        <v>85</v>
      </c>
      <c r="M16" s="25">
        <v>114</v>
      </c>
      <c r="N16" s="185">
        <f>(Controle!N6+Controle!N16+Controle!N26+Controle!N36)/4</f>
        <v>83</v>
      </c>
      <c r="O16" s="190">
        <f>(Controle!O6+Controle!O16+Controle!O26+Controle!O36)/4</f>
        <v>88</v>
      </c>
      <c r="P16" s="154">
        <f>IF(B16="","",AVERAGE(K16:O16))</f>
        <v>92.8</v>
      </c>
      <c r="Q16" s="74">
        <f>(LARGE(K16:O16,1))-(SMALL(K16:O16,1))</f>
        <v>31</v>
      </c>
      <c r="R16" s="83">
        <f>SQRT(((((K16-$P16)^2)+((L16-$P16)^2)+((M16-$P16)^2)+((N16-$P16)^2)+((O16-$P16)^2))/4))</f>
        <v>12.557866060760482</v>
      </c>
      <c r="S16" s="194">
        <v>79</v>
      </c>
      <c r="T16" s="185">
        <v>81</v>
      </c>
      <c r="U16" s="26">
        <v>89</v>
      </c>
      <c r="V16" s="185">
        <f>(Controle!V6+Controle!V16+Controle!V26+Controle!V36)/4</f>
        <v>74</v>
      </c>
      <c r="W16" s="186">
        <v>77</v>
      </c>
      <c r="X16" s="86">
        <f>IF(B16="","",AVERAGE(S16:W16))</f>
        <v>80</v>
      </c>
      <c r="Y16" s="74">
        <f>(LARGE(S16:W16,1))-(SMALL(S16:W16,1))</f>
        <v>15</v>
      </c>
      <c r="Z16" s="83">
        <f>SQRT(((((S16-$X16)^2)+((T16-$X16)^2)+((U16-$X16)^2)+((V16-$X16)^2)+((W16-$X16)^2))/4))</f>
        <v>5.6568542494923806</v>
      </c>
      <c r="AA16" s="110">
        <f>IF(B16="","",AVERAGE(C16:G16,K16:O16,S16:W16))</f>
        <v>93.45</v>
      </c>
      <c r="AC16" s="147">
        <v>1</v>
      </c>
    </row>
    <row r="17" spans="1:31" x14ac:dyDescent="0.2">
      <c r="A17" s="317"/>
      <c r="B17" s="302" t="s">
        <v>30</v>
      </c>
      <c r="C17" s="194">
        <f>(Controle!C7+Controle!C17+Controle!C27+Controle!C37)/4</f>
        <v>187.25</v>
      </c>
      <c r="D17" s="185">
        <f>(Controle!D7+Controle!D17+Controle!D27+Controle!D37)/4</f>
        <v>104.25</v>
      </c>
      <c r="E17" s="25">
        <f>(Controle!E7+Controle!E17+Controle!E27+Controle!E37)/4</f>
        <v>106.75</v>
      </c>
      <c r="F17" s="185">
        <v>87</v>
      </c>
      <c r="G17" s="186">
        <v>85</v>
      </c>
      <c r="H17" s="86">
        <f>IF(B17="","",AVERAGE(C17:G17))</f>
        <v>114.05</v>
      </c>
      <c r="I17" s="74">
        <f>(LARGE(C17:G17,1))-(SMALL(C17:G17,1))</f>
        <v>102.25</v>
      </c>
      <c r="J17" s="151">
        <f>SQRT(((((C17-$H17)^2)+((D17-H17)^2)+((E17-H17)^2)+((F17-H17)^2)+((G17-H17)^2))/4))</f>
        <v>42.080800253797456</v>
      </c>
      <c r="K17" s="14">
        <v>87</v>
      </c>
      <c r="L17" s="211">
        <f>(Controle!L7+Controle!L17+Controle!L27+Controle!L37)/4</f>
        <v>76</v>
      </c>
      <c r="M17" s="185">
        <v>82</v>
      </c>
      <c r="N17" s="25">
        <f>(Controle!N7+Controle!N17+Controle!N27+Controle!N37)/4</f>
        <v>69</v>
      </c>
      <c r="O17" s="190">
        <v>78</v>
      </c>
      <c r="P17" s="154">
        <f>IF(B17="","",AVERAGE(K17:O17))</f>
        <v>78.400000000000006</v>
      </c>
      <c r="Q17" s="74">
        <f>(LARGE(K17:O17,1))-(SMALL(K17:O17,1))</f>
        <v>18</v>
      </c>
      <c r="R17" s="83">
        <f>SQRT(((((K17-$P17)^2)+((L17-$P17)^2)+((M17-$P17)^2)+((N17-$P17)^2)+((O17-$P17)^2))/4))</f>
        <v>6.730527468185536</v>
      </c>
      <c r="S17" s="194">
        <v>84</v>
      </c>
      <c r="T17" s="185">
        <v>76</v>
      </c>
      <c r="U17" s="185">
        <v>80</v>
      </c>
      <c r="V17" s="185">
        <v>73</v>
      </c>
      <c r="W17" s="186">
        <f>(Controle!W7+Controle!W17+Controle!W27+Controle!W37)/4</f>
        <v>72</v>
      </c>
      <c r="X17" s="86">
        <f>IF(B17="","",AVERAGE(S17:W17))</f>
        <v>77</v>
      </c>
      <c r="Y17" s="74">
        <f>(LARGE(S17:W17,1))-(SMALL(S17:W17,1))</f>
        <v>12</v>
      </c>
      <c r="Z17" s="83">
        <f>SQRT(((((S17-$X17)^2)+((T17-$X17)^2)+((U17-$X17)^2)+((V17-$X17)^2)+((W17-$X17)^2))/4))</f>
        <v>5</v>
      </c>
      <c r="AA17" s="110">
        <f>IF(B17="","",AVERAGE(C17:G17,K17:O17,S17:W17))</f>
        <v>89.816666666666663</v>
      </c>
      <c r="AC17" s="147">
        <v>1</v>
      </c>
      <c r="AD17" s="1">
        <v>9</v>
      </c>
      <c r="AE17" s="1">
        <v>1</v>
      </c>
    </row>
    <row r="18" spans="1:31" ht="13.5" thickBot="1" x14ac:dyDescent="0.25">
      <c r="A18" s="317"/>
      <c r="B18" s="305" t="s">
        <v>31</v>
      </c>
      <c r="C18" s="199">
        <f>(Controle!C8+Controle!C18+Controle!C28+Controle!C38)/4</f>
        <v>183.75</v>
      </c>
      <c r="D18" s="198">
        <f>(Controle!D8+Controle!D18+Controle!D28+Controle!D38)/4</f>
        <v>111.75</v>
      </c>
      <c r="E18" s="198">
        <v>91</v>
      </c>
      <c r="F18" s="198">
        <v>88</v>
      </c>
      <c r="G18" s="201">
        <f>(Controle!G8+Controle!G18+Controle!G28+Controle!G38)/4</f>
        <v>90</v>
      </c>
      <c r="H18" s="87">
        <f>IF(B18="","",AVERAGE(C18:G18))</f>
        <v>112.9</v>
      </c>
      <c r="I18" s="80">
        <f>(LARGE(C18:G18,1))-(SMALL(C18:G18,1))</f>
        <v>95.75</v>
      </c>
      <c r="J18" s="152">
        <f>SQRT(((((C18-$H18)^2)+((D18-H18)^2)+((E18-H18)^2)+((F18-H18)^2)+((G18-H18)^2))/4))</f>
        <v>40.758664722976391</v>
      </c>
      <c r="K18" s="162">
        <v>88</v>
      </c>
      <c r="L18" s="192">
        <v>82</v>
      </c>
      <c r="M18" s="192">
        <f>(Controle!M8+Controle!M18+Controle!M28+Controle!M38)/4</f>
        <v>84</v>
      </c>
      <c r="N18" s="192">
        <f>(Controle!N8+Controle!N18+Controle!N28+Controle!N38)/4</f>
        <v>71</v>
      </c>
      <c r="O18" s="193">
        <v>74</v>
      </c>
      <c r="P18" s="155">
        <f>IF(B18="","",AVERAGE(K18:O18))</f>
        <v>79.8</v>
      </c>
      <c r="Q18" s="80">
        <f>(LARGE(K18:O18,1))-(SMALL(K18:O18,1))</f>
        <v>17</v>
      </c>
      <c r="R18" s="84">
        <f>SQRT(((((K18-$P18)^2)+((L18-$P18)^2)+((M18-$P18)^2)+((N18-$P18)^2)+((O18-$P18)^2))/4))</f>
        <v>7.0851958335673411</v>
      </c>
      <c r="S18" s="199">
        <f>(Controle!S8+Controle!S18+Controle!S28+Controle!S38)/4</f>
        <v>76</v>
      </c>
      <c r="T18" s="198">
        <v>77</v>
      </c>
      <c r="U18" s="198">
        <f>(Controle!U8+Controle!U18+Controle!U28+Controle!U38)/4</f>
        <v>69</v>
      </c>
      <c r="V18" s="198">
        <f>(Controle!V8+Controle!V18+Controle!V28+Controle!V38)/4</f>
        <v>70</v>
      </c>
      <c r="W18" s="201">
        <v>70</v>
      </c>
      <c r="X18" s="87">
        <f>IF(B18="","",AVERAGE(S18:W18))</f>
        <v>72.400000000000006</v>
      </c>
      <c r="Y18" s="80">
        <f>(LARGE(S18:W18,1))-(SMALL(S18:W18,1))</f>
        <v>8</v>
      </c>
      <c r="Z18" s="84">
        <f>SQRT(((((S18-$X18)^2)+((T18-$X18)^2)+((U18-$X18)^2)+((V18-$X18)^2)+((W18-$X18)^2))/4))</f>
        <v>3.7815340802378072</v>
      </c>
      <c r="AA18" s="110">
        <f>IF(B18="","",AVERAGE(C18:G18,K18:O18,S18:W18))</f>
        <v>88.36666666666666</v>
      </c>
      <c r="AC18" s="147">
        <v>0</v>
      </c>
      <c r="AD18" s="1">
        <v>10</v>
      </c>
      <c r="AE18" s="1">
        <v>0</v>
      </c>
    </row>
    <row r="19" spans="1:31" ht="13.5" thickBot="1" x14ac:dyDescent="0.25">
      <c r="A19" s="318"/>
      <c r="B19" s="3" t="s">
        <v>6</v>
      </c>
      <c r="C19" s="125">
        <f>IF(C15="","",AVERAGE(C15:C18))</f>
        <v>180.25</v>
      </c>
      <c r="D19" s="170">
        <f t="shared" ref="D19:G19" si="6">IF(D15="","",AVERAGE(D15:D18))</f>
        <v>106.6875</v>
      </c>
      <c r="E19" s="170">
        <f t="shared" si="6"/>
        <v>96.6875</v>
      </c>
      <c r="F19" s="170">
        <f t="shared" si="6"/>
        <v>90.5</v>
      </c>
      <c r="G19" s="171">
        <f t="shared" si="6"/>
        <v>86.75</v>
      </c>
      <c r="H19" s="118">
        <f>(SUM(H15:H18))/4</f>
        <v>112.17500000000001</v>
      </c>
      <c r="I19" s="119">
        <f>AVERAGE(I15:I18)</f>
        <v>94</v>
      </c>
      <c r="J19" s="120">
        <f>(SUM(J15:J18))/20</f>
        <v>7.7970123386553665</v>
      </c>
      <c r="K19" s="126">
        <f>IF(K15="","",AVERAGE(K15:K18))</f>
        <v>88</v>
      </c>
      <c r="L19" s="127">
        <f>IF(L15="","",AVERAGE(L15:L18))</f>
        <v>83.5</v>
      </c>
      <c r="M19" s="127">
        <f t="shared" ref="M19:N19" si="7">IF(M15="","",AVERAGE(M15:M18))</f>
        <v>90.5</v>
      </c>
      <c r="N19" s="127">
        <f t="shared" si="7"/>
        <v>77.25</v>
      </c>
      <c r="O19" s="128">
        <f>IF(O15="","",AVERAGE(O15:O18))</f>
        <v>83.25</v>
      </c>
      <c r="P19" s="118">
        <f>(SUM(P15:P18))/4</f>
        <v>84.500000000000014</v>
      </c>
      <c r="Q19" s="119">
        <f>AVERAGE(Q15:Q18)</f>
        <v>19.25</v>
      </c>
      <c r="R19" s="120">
        <f>(SUM(R15:R18))/20</f>
        <v>1.5610634609964844</v>
      </c>
      <c r="S19" s="125">
        <f>IF(S15="","",AVERAGE(S15:S18))</f>
        <v>79.5</v>
      </c>
      <c r="T19" s="170">
        <f>IF(T15="","",AVERAGE(T15:T18))</f>
        <v>78</v>
      </c>
      <c r="U19" s="170">
        <f>IF(U15="","",AVERAGE(U15:U18))</f>
        <v>78.75</v>
      </c>
      <c r="V19" s="170">
        <f t="shared" ref="V19" si="8">IF(V15="","",AVERAGE(V15:V18))</f>
        <v>73.25</v>
      </c>
      <c r="W19" s="171">
        <f>IF(W15="","",AVERAGE(W15:W18))</f>
        <v>74.75</v>
      </c>
      <c r="X19" s="118">
        <f>(SUM(X15:X18))/4</f>
        <v>76.849999999999994</v>
      </c>
      <c r="Y19" s="119">
        <f>AVERAGE(Y15:Y18)</f>
        <v>9.75</v>
      </c>
      <c r="Z19" s="120">
        <f>(SUM(Z15:Z18))/20</f>
        <v>0.80097635799071887</v>
      </c>
      <c r="AA19" s="122">
        <f>(H19+P19+X19)/3</f>
        <v>91.174999999999997</v>
      </c>
      <c r="AC19" s="148">
        <f>SUM(AC15:AC18)</f>
        <v>4</v>
      </c>
    </row>
    <row r="20" spans="1:31" x14ac:dyDescent="0.2">
      <c r="A20" s="316" t="s">
        <v>11</v>
      </c>
      <c r="B20" s="306" t="s">
        <v>32</v>
      </c>
      <c r="C20" s="43">
        <f>(Controle!C10+Controle!C20+Controle!C30+Controle!C40)/4</f>
        <v>210.25</v>
      </c>
      <c r="D20" s="188">
        <f>(Controle!D10+Controle!D20+Controle!D30+Controle!D40)/4</f>
        <v>156.5</v>
      </c>
      <c r="E20" s="28">
        <f>(Controle!E10+Controle!E20+Controle!E30+Controle!E40)/4</f>
        <v>173.75</v>
      </c>
      <c r="F20" s="188">
        <f>(Controle!F10+Controle!F20+Controle!F30+Controle!F40)/4</f>
        <v>129.75</v>
      </c>
      <c r="G20" s="215">
        <f>(Controle!G10+Controle!G20+Controle!G30+Controle!G40)/4</f>
        <v>163</v>
      </c>
      <c r="H20" s="85">
        <f>IF(B20="","",AVERAGE(C20:G20))</f>
        <v>166.65</v>
      </c>
      <c r="I20" s="81">
        <f>(LARGE(C20:G20,1))-(SMALL(C20:G20,1))</f>
        <v>80.5</v>
      </c>
      <c r="J20" s="150">
        <f>SQRT(((((C20-$H20)^2)+((D20-H20)^2)+((E20-H20)^2)+((F20-H20)^2)+((G20-H20)^2))/4))</f>
        <v>29.280219432237867</v>
      </c>
      <c r="K20" s="219">
        <f>(Controle!K10+Controle!K20+Controle!K30+Controle!K40)/4</f>
        <v>120</v>
      </c>
      <c r="L20" s="28">
        <v>132</v>
      </c>
      <c r="M20" s="188">
        <f>(Controle!M10+Controle!M20+Controle!M30+Controle!M40)/4</f>
        <v>115.75</v>
      </c>
      <c r="N20" s="188">
        <f>(Controle!N10+Controle!N20+Controle!N30+Controle!N40)/4</f>
        <v>107.75</v>
      </c>
      <c r="O20" s="189">
        <v>103</v>
      </c>
      <c r="P20" s="153">
        <f>IF(B20="","",AVERAGE(K20:O20))</f>
        <v>115.7</v>
      </c>
      <c r="Q20" s="81">
        <f>(LARGE(K20:O20,1))-(SMALL(K20:O20,1))</f>
        <v>29</v>
      </c>
      <c r="R20" s="82">
        <f>SQRT(((((K20-$P20)^2)+((L20-$P20)^2)+((M20-$P20)^2)+((N20-$P20)^2)+((O20-$P20)^2))/4))</f>
        <v>11.276912254690997</v>
      </c>
      <c r="S20" s="187">
        <f>(Controle!S10+Controle!S20+Controle!S30+Controle!S40)/4</f>
        <v>103.25</v>
      </c>
      <c r="T20" s="188">
        <v>99</v>
      </c>
      <c r="U20" s="188">
        <v>94</v>
      </c>
      <c r="V20" s="28">
        <f>(Controle!V10+Controle!V20+Controle!V30+Controle!V40)/4</f>
        <v>114.75</v>
      </c>
      <c r="W20" s="189">
        <v>88</v>
      </c>
      <c r="X20" s="85">
        <f>IF(B20="","",AVERAGE(S20:W20))</f>
        <v>99.8</v>
      </c>
      <c r="Y20" s="81">
        <f>(LARGE(S20:W20,1))-(SMALL(S20:W20,1))</f>
        <v>26.75</v>
      </c>
      <c r="Z20" s="82">
        <f>SQRT(((((S20-$X20)^2)+((T20-$X20)^2)+((U20-$X20)^2)+((V20-$X20)^2)+((W20-$X20)^2))/4))</f>
        <v>10.110947037740827</v>
      </c>
      <c r="AA20" s="114">
        <f>IF(B20="","",AVERAGE(C20:G20,K20:O20,S20:W20))</f>
        <v>127.38333333333334</v>
      </c>
      <c r="AC20" s="147">
        <v>4</v>
      </c>
      <c r="AD20" s="1">
        <v>10</v>
      </c>
      <c r="AE20" s="1">
        <v>2</v>
      </c>
    </row>
    <row r="21" spans="1:31" x14ac:dyDescent="0.2">
      <c r="A21" s="317"/>
      <c r="B21" s="300" t="s">
        <v>33</v>
      </c>
      <c r="C21" s="184">
        <f>(Controle!C11+Controle!C21+Controle!C31+Controle!C41)/4</f>
        <v>192.75</v>
      </c>
      <c r="D21" s="185">
        <f>(Controle!D11+Controle!D21+Controle!D31+Controle!D41)/4</f>
        <v>140.75</v>
      </c>
      <c r="E21" s="185">
        <f>(Controle!E11+Controle!E21+Controle!E31+Controle!E41)/4</f>
        <v>144.25</v>
      </c>
      <c r="F21" s="185">
        <f>(Controle!F11+Controle!F21+Controle!F31+Controle!F41)/4</f>
        <v>110.5</v>
      </c>
      <c r="G21" s="190">
        <f>(Controle!G11+Controle!G21+Controle!G31+Controle!G41)/4</f>
        <v>104.75</v>
      </c>
      <c r="H21" s="86">
        <f>IF(B21="","",AVERAGE(C21:G21))</f>
        <v>138.6</v>
      </c>
      <c r="I21" s="74">
        <f>(LARGE(C21:G21,1))-(SMALL(C21:G21,1))</f>
        <v>88</v>
      </c>
      <c r="J21" s="151">
        <f>SQRT(((((C21-$H21)^2)+((D21-H21)^2)+((E21-H21)^2)+((F21-H21)^2)+((G21-H21)^2))/4))</f>
        <v>35.0149967870911</v>
      </c>
      <c r="K21" s="184">
        <v>98</v>
      </c>
      <c r="L21" s="26">
        <v>105</v>
      </c>
      <c r="M21" s="211">
        <v>90</v>
      </c>
      <c r="N21" s="185">
        <v>94</v>
      </c>
      <c r="O21" s="190">
        <v>87</v>
      </c>
      <c r="P21" s="154">
        <f>IF(B21="","",AVERAGE(K21:O21))</f>
        <v>94.8</v>
      </c>
      <c r="Q21" s="74">
        <f>(LARGE(K21:O21,1))-(SMALL(K21:O21,1))</f>
        <v>18</v>
      </c>
      <c r="R21" s="83">
        <f>SQRT(((((K21-$P21)^2)+((L21-$P21)^2)+((M21-$P21)^2)+((N21-$P21)^2)+((O21-$P21)^2))/4))</f>
        <v>7.0498226928058267</v>
      </c>
      <c r="S21" s="14">
        <v>110</v>
      </c>
      <c r="T21" s="185">
        <v>82</v>
      </c>
      <c r="U21" s="185">
        <f>(Controle!U11+Controle!U21+Controle!U31+Controle!U41)/4</f>
        <v>85</v>
      </c>
      <c r="V21" s="185">
        <f>(Controle!V11+Controle!V21+Controle!V31+Controle!V41)/4</f>
        <v>86</v>
      </c>
      <c r="W21" s="190">
        <v>85</v>
      </c>
      <c r="X21" s="86">
        <f>IF(B21="","",AVERAGE(S21:W21))</f>
        <v>89.6</v>
      </c>
      <c r="Y21" s="74">
        <f>(LARGE(S21:W21,1))-(SMALL(S21:W21,1))</f>
        <v>28</v>
      </c>
      <c r="Z21" s="83">
        <f>SQRT(((((S21-$X21)^2)+((T21-$X21)^2)+((U21-$X21)^2)+((V21-$X21)^2)+((W21-$X21)^2))/4))</f>
        <v>11.502173707608488</v>
      </c>
      <c r="AA21" s="110">
        <f>IF(B21="","",AVERAGE(C21:G21,K21:O21,S21:W21))</f>
        <v>107.66666666666667</v>
      </c>
      <c r="AC21" s="147">
        <v>2</v>
      </c>
      <c r="AD21" s="1">
        <v>8</v>
      </c>
      <c r="AE21" s="1">
        <v>1</v>
      </c>
    </row>
    <row r="22" spans="1:31" x14ac:dyDescent="0.2">
      <c r="A22" s="317"/>
      <c r="B22" s="300" t="s">
        <v>34</v>
      </c>
      <c r="C22" s="43">
        <f>(Controle!C12+Controle!C22+Controle!C32+Controle!C42)/4</f>
        <v>204.5</v>
      </c>
      <c r="D22" s="185">
        <f>(Controle!D12+Controle!D22+Controle!D32+Controle!D42)/4</f>
        <v>150.25</v>
      </c>
      <c r="E22" s="185">
        <f>(Controle!E12+Controle!E22+Controle!E32+Controle!E42)/4</f>
        <v>130.5</v>
      </c>
      <c r="F22" s="185">
        <f>(Controle!F12+Controle!F22+Controle!F32+Controle!F42)/4</f>
        <v>121</v>
      </c>
      <c r="G22" s="190">
        <f>(Controle!G12+Controle!G22+Controle!G32+Controle!G42)/4</f>
        <v>121.75</v>
      </c>
      <c r="H22" s="86">
        <f>IF(B22="","",AVERAGE(C22:G22))</f>
        <v>145.6</v>
      </c>
      <c r="I22" s="74">
        <f>(LARGE(C22:G22,1))-(SMALL(C22:G22,1))</f>
        <v>83.5</v>
      </c>
      <c r="J22" s="151">
        <f>SQRT(((((C22-$H22)^2)+((D22-H22)^2)+((E22-H22)^2)+((F22-H22)^2)+((G22-H22)^2))/4))</f>
        <v>34.974365612545419</v>
      </c>
      <c r="K22" s="388">
        <f>(Controle!K12+Controle!K22+Controle!K32+Controle!K42)/4</f>
        <v>105.75</v>
      </c>
      <c r="L22" s="185">
        <f>(Controle!L12+Controle!L22+Controle!L32+Controle!L42)/4</f>
        <v>103</v>
      </c>
      <c r="M22" s="185">
        <f>(Controle!M12+Controle!M22+Controle!M32+Controle!M42)/4</f>
        <v>106.75</v>
      </c>
      <c r="N22" s="185">
        <f>(Controle!N12+Controle!N22+Controle!N32+Controle!N42)/4</f>
        <v>108.25</v>
      </c>
      <c r="O22" s="174">
        <f>(Controle!O12+Controle!O22+Controle!O32+Controle!O42)/4</f>
        <v>101</v>
      </c>
      <c r="P22" s="154">
        <f>IF(B22="","",AVERAGE(K22:O22))</f>
        <v>104.95</v>
      </c>
      <c r="Q22" s="74">
        <f>(LARGE(K22:O22,1))-(SMALL(K22:O22,1))</f>
        <v>7.25</v>
      </c>
      <c r="R22" s="83">
        <f>SQRT(((((K22-$P22)^2)+((L22-$P22)^2)+((M22-$P22)^2)+((N22-$P22)^2)+((O22-$P22)^2))/4))</f>
        <v>2.9229693806128041</v>
      </c>
      <c r="S22" s="184">
        <v>97</v>
      </c>
      <c r="T22" s="185">
        <v>95</v>
      </c>
      <c r="U22" s="185">
        <v>90</v>
      </c>
      <c r="V22" s="185">
        <v>92</v>
      </c>
      <c r="W22" s="190">
        <v>94</v>
      </c>
      <c r="X22" s="86">
        <f>IF(B22="","",AVERAGE(S22:W22))</f>
        <v>93.6</v>
      </c>
      <c r="Y22" s="74">
        <f>(LARGE(S22:W22,1))-(SMALL(S22:W22,1))</f>
        <v>7</v>
      </c>
      <c r="Z22" s="83">
        <f>SQRT(((((S22-$X22)^2)+((T22-$X22)^2)+((U22-$X22)^2)+((V22-$X22)^2)+((W22-$X22)^2))/4))</f>
        <v>2.7018512172212592</v>
      </c>
      <c r="AA22" s="110">
        <f>IF(B22="","",AVERAGE(C22:G22,K22:O22,S22:W22))</f>
        <v>114.71666666666667</v>
      </c>
      <c r="AC22" s="147">
        <v>1</v>
      </c>
    </row>
    <row r="23" spans="1:31" ht="13.5" thickBot="1" x14ac:dyDescent="0.25">
      <c r="A23" s="317"/>
      <c r="B23" s="300" t="s">
        <v>35</v>
      </c>
      <c r="C23" s="191">
        <f>(Controle!C13+Controle!C23+Controle!C33+Controle!C43)/4</f>
        <v>198.75</v>
      </c>
      <c r="D23" s="192">
        <f>(Controle!D13+Controle!D23+Controle!D33+Controle!D43)/4</f>
        <v>143.5</v>
      </c>
      <c r="E23" s="192">
        <f>(Controle!E13+Controle!E23+Controle!E33+Controle!E43)/4</f>
        <v>127.75</v>
      </c>
      <c r="F23" s="192">
        <f>(Controle!F13+Controle!F23+Controle!F33+Controle!F43)/4</f>
        <v>110.25</v>
      </c>
      <c r="G23" s="26">
        <f>(Controle!G13+Controle!G23+Controle!G33+Controle!G43)/4</f>
        <v>123</v>
      </c>
      <c r="H23" s="87">
        <f>IF(B23="","",AVERAGE(C23:G23))</f>
        <v>140.65</v>
      </c>
      <c r="I23" s="80">
        <f>(LARGE(C23:G23,1))-(SMALL(C23:G23,1))</f>
        <v>88.5</v>
      </c>
      <c r="J23" s="152">
        <f>SQRT(((((C23-$H23)^2)+((D23-H23)^2)+((E23-H23)^2)+((F23-H23)^2)+((G23-H23)^2))/4))</f>
        <v>34.589828707294863</v>
      </c>
      <c r="K23" s="191">
        <v>110</v>
      </c>
      <c r="L23" s="192">
        <f>(Controle!L13+Controle!L23+Controle!L33+Controle!L43)/4</f>
        <v>94</v>
      </c>
      <c r="M23" s="61">
        <v>89</v>
      </c>
      <c r="N23" s="192">
        <v>95</v>
      </c>
      <c r="O23" s="389">
        <v>93</v>
      </c>
      <c r="P23" s="155">
        <f>IF(B23="","",AVERAGE(K23:O23))</f>
        <v>96.2</v>
      </c>
      <c r="Q23" s="80">
        <f>(LARGE(K23:O23,1))-(SMALL(K23:O23,1))</f>
        <v>21</v>
      </c>
      <c r="R23" s="84">
        <f>SQRT(((((K23-$P23)^2)+((L23-$P23)^2)+((M23-$P23)^2)+((N23-$P23)^2)+((O23-$P23)^2))/4))</f>
        <v>8.0436310208760808</v>
      </c>
      <c r="S23" s="191">
        <f>(Controle!S13+Controle!S23+Controle!S33+Controle!S43)/4</f>
        <v>91</v>
      </c>
      <c r="T23" s="26">
        <f>(Controle!T13+Controle!T23+Controle!T33+Controle!T43)/4</f>
        <v>81</v>
      </c>
      <c r="U23" s="192">
        <f>(Controle!U13+Controle!U23+Controle!U33+Controle!U43)/4</f>
        <v>89</v>
      </c>
      <c r="V23" s="192">
        <v>85</v>
      </c>
      <c r="W23" s="193">
        <v>83</v>
      </c>
      <c r="X23" s="87">
        <f>IF(B23="","",AVERAGE(S23:W23))</f>
        <v>85.8</v>
      </c>
      <c r="Y23" s="80">
        <f>(LARGE(S23:W23,1))-(SMALL(S23:W23,1))</f>
        <v>10</v>
      </c>
      <c r="Z23" s="84">
        <f>SQRT(((((S23-$X23)^2)+((T23-$X23)^2)+((U23-$X23)^2)+((V23-$X23)^2)+((W23-$X23)^2))/4))</f>
        <v>4.1472882706655438</v>
      </c>
      <c r="AA23" s="110">
        <f>IF(B23="","",AVERAGE(C23:G23,K23:O23,S23:W23))</f>
        <v>107.55</v>
      </c>
      <c r="AC23" s="147">
        <v>2</v>
      </c>
      <c r="AD23" s="1">
        <v>6</v>
      </c>
      <c r="AE23" s="1">
        <v>1</v>
      </c>
    </row>
    <row r="24" spans="1:31" ht="13.5" thickBot="1" x14ac:dyDescent="0.25">
      <c r="A24" s="318"/>
      <c r="B24" s="3" t="s">
        <v>6</v>
      </c>
      <c r="C24" s="220">
        <f>IF(C20="","",AVERAGE(C20:C23))</f>
        <v>201.5625</v>
      </c>
      <c r="D24" s="221">
        <f t="shared" ref="D24:G24" si="9">IF(D20="","",AVERAGE(D20:D23))</f>
        <v>147.75</v>
      </c>
      <c r="E24" s="221">
        <f t="shared" si="9"/>
        <v>144.0625</v>
      </c>
      <c r="F24" s="221">
        <f t="shared" si="9"/>
        <v>117.875</v>
      </c>
      <c r="G24" s="222">
        <f t="shared" si="9"/>
        <v>128.125</v>
      </c>
      <c r="H24" s="118">
        <f>(SUM(H20:H23))/4</f>
        <v>147.875</v>
      </c>
      <c r="I24" s="119">
        <f>AVERAGE(I20:I23)</f>
        <v>85.125</v>
      </c>
      <c r="J24" s="120">
        <f>(SUM(J20:J23))/20</f>
        <v>6.6929705269584616</v>
      </c>
      <c r="K24" s="123">
        <f>IF(K20="","",AVERAGE(K20:K23))</f>
        <v>108.4375</v>
      </c>
      <c r="L24" s="76">
        <f>IF(L20="","",AVERAGE(L20:L23))</f>
        <v>108.5</v>
      </c>
      <c r="M24" s="76">
        <f t="shared" ref="M24:N24" si="10">IF(M20="","",AVERAGE(M20:M23))</f>
        <v>100.375</v>
      </c>
      <c r="N24" s="76">
        <f t="shared" si="10"/>
        <v>101.25</v>
      </c>
      <c r="O24" s="124">
        <f>IF(O20="","",AVERAGE(O20:O23))</f>
        <v>96</v>
      </c>
      <c r="P24" s="118">
        <f>(SUM(P20:P23))/4</f>
        <v>102.91249999999999</v>
      </c>
      <c r="Q24" s="119">
        <f>AVERAGE(Q20:Q23)</f>
        <v>18.8125</v>
      </c>
      <c r="R24" s="120">
        <f>(SUM(R20:R23))/20</f>
        <v>1.4646667674492855</v>
      </c>
      <c r="S24" s="125">
        <f>IF(S20="","",AVERAGE(S20:S23))</f>
        <v>100.3125</v>
      </c>
      <c r="T24" s="170">
        <f>IF(T20="","",AVERAGE(T20:T23))</f>
        <v>89.25</v>
      </c>
      <c r="U24" s="170">
        <f>IF(U20="","",AVERAGE(U20:U23))</f>
        <v>89.5</v>
      </c>
      <c r="V24" s="170">
        <f t="shared" ref="V24" si="11">IF(V20="","",AVERAGE(V20:V23))</f>
        <v>94.4375</v>
      </c>
      <c r="W24" s="171">
        <f>IF(W20="","",AVERAGE(W20:W23))</f>
        <v>87.5</v>
      </c>
      <c r="X24" s="118">
        <f>(SUM(X20:X23))/4</f>
        <v>92.2</v>
      </c>
      <c r="Y24" s="119">
        <f>AVERAGE(Y20:Y23)</f>
        <v>17.9375</v>
      </c>
      <c r="Z24" s="120">
        <f>(SUM(Z20:Z23))/20</f>
        <v>1.423113011661806</v>
      </c>
      <c r="AA24" s="122">
        <f>(H24+P24+X24)/3</f>
        <v>114.32916666666667</v>
      </c>
      <c r="AC24" s="148">
        <f>SUM(AC20:AC23)</f>
        <v>9</v>
      </c>
    </row>
    <row r="25" spans="1:31" x14ac:dyDescent="0.2">
      <c r="A25" s="316" t="s">
        <v>12</v>
      </c>
      <c r="B25" s="306" t="s">
        <v>36</v>
      </c>
      <c r="C25" s="43">
        <f>(Controle!C25+Controle!C35)/2</f>
        <v>202.5</v>
      </c>
      <c r="D25" s="182">
        <f>(Controle!D25+Controle!D35)/2</f>
        <v>93</v>
      </c>
      <c r="E25" s="182">
        <f>(Controle!E25+Controle!E35)/2</f>
        <v>82</v>
      </c>
      <c r="F25" s="182">
        <f>(Controle!F25+Controle!F35)/2</f>
        <v>79</v>
      </c>
      <c r="G25" s="228">
        <f>(Controle!G25+Controle!G35)/2</f>
        <v>77</v>
      </c>
      <c r="H25" s="153">
        <f>IF(B25="","",AVERAGE(C25:G25))</f>
        <v>106.7</v>
      </c>
      <c r="I25" s="81">
        <f>(LARGE(C25:G25,1))-(SMALL(C25:G25,1))</f>
        <v>125.5</v>
      </c>
      <c r="J25" s="82">
        <f>SQRT(((((C25-$H25)^2)+((D25-H25)^2)+((E25-H25)^2)+((F25-H25)^2)+((G25-H25)^2))/4))</f>
        <v>53.909182891229214</v>
      </c>
      <c r="K25" s="211">
        <f>(Controle!K25+Controle!K35)/2</f>
        <v>70</v>
      </c>
      <c r="L25" s="185">
        <f>(Controle!L25+Controle!L35)/2</f>
        <v>76</v>
      </c>
      <c r="M25" s="185">
        <v>72</v>
      </c>
      <c r="N25" s="185">
        <f>(Controle!N25+Controle!N35)/2</f>
        <v>76</v>
      </c>
      <c r="O25" s="185">
        <v>78</v>
      </c>
      <c r="P25" s="85">
        <f>IF(B25="","",AVERAGE(K25:O25))</f>
        <v>74.400000000000006</v>
      </c>
      <c r="Q25" s="81">
        <f>(LARGE(K25:O25,1))-(SMALL(K25:O25,1))</f>
        <v>8</v>
      </c>
      <c r="R25" s="82">
        <f>SQRT(((((K25-$P25)^2)+((L25-$P25)^2)+((M25-$P25)^2)+((N25-$P25)^2)+((O25-$P25)^2))/4))</f>
        <v>3.2863353450309964</v>
      </c>
      <c r="S25" s="185">
        <v>64</v>
      </c>
      <c r="T25" s="185">
        <v>66</v>
      </c>
      <c r="U25" s="185">
        <v>61</v>
      </c>
      <c r="V25" s="185">
        <v>62</v>
      </c>
      <c r="W25" s="185">
        <f>(Controle!W25+Controle!W35)/2</f>
        <v>73</v>
      </c>
      <c r="X25" s="85">
        <f>IF(B25="","",AVERAGE(S25:W25))</f>
        <v>65.2</v>
      </c>
      <c r="Y25" s="81">
        <f>(LARGE(S25:W25,1))-(SMALL(S25:W25,1))</f>
        <v>12</v>
      </c>
      <c r="Z25" s="82">
        <f>SQRT(((((S25-$X25)^2)+((T25-$X25)^2)+((U25-$X25)^2)+((V25-$X25)^2)+((W25-$X25)^2))/4))</f>
        <v>4.7644516998286379</v>
      </c>
      <c r="AA25" s="114">
        <f>IF(B25="","",AVERAGE(C25:G25,K25:O25,S25:W25))</f>
        <v>82.1</v>
      </c>
      <c r="AC25" s="147">
        <v>1</v>
      </c>
      <c r="AD25" s="1">
        <v>10</v>
      </c>
      <c r="AE25" s="1">
        <v>0</v>
      </c>
    </row>
    <row r="26" spans="1:31" x14ac:dyDescent="0.2">
      <c r="A26" s="317"/>
      <c r="B26" s="300" t="s">
        <v>37</v>
      </c>
      <c r="C26" s="184">
        <f>(Controle!C26+Controle!C36)/2</f>
        <v>168.5</v>
      </c>
      <c r="D26" s="185">
        <f>(Controle!D26+Controle!D36)/2</f>
        <v>106.5</v>
      </c>
      <c r="E26" s="25">
        <v>93</v>
      </c>
      <c r="F26" s="185">
        <f>(Controle!F26+Controle!F36)/2</f>
        <v>99</v>
      </c>
      <c r="G26" s="190">
        <v>90</v>
      </c>
      <c r="H26" s="154">
        <f>IF(B26="","",AVERAGE(C26:G26))</f>
        <v>111.4</v>
      </c>
      <c r="I26" s="74">
        <f>(LARGE(C26:G26,1))-(SMALL(C26:G26,1))</f>
        <v>78.5</v>
      </c>
      <c r="J26" s="83">
        <f>SQRT(((((C26-$H26)^2)+((D26-H26)^2)+((E26-H26)^2)+((F26-H26)^2)+((G26-H26)^2))/4))</f>
        <v>32.537286303562567</v>
      </c>
      <c r="K26" s="211">
        <f>(Controle!K26+Controle!K36)/2</f>
        <v>103</v>
      </c>
      <c r="L26" s="185">
        <f>(Controle!L26+Controle!L36)/2</f>
        <v>80</v>
      </c>
      <c r="M26" s="25">
        <f>(Controle!M26+Controle!M36)/2</f>
        <v>134.5</v>
      </c>
      <c r="N26" s="185">
        <f>(Controle!N26+Controle!N36)/2</f>
        <v>81</v>
      </c>
      <c r="O26" s="185">
        <f>(Controle!O26+Controle!O36)/2</f>
        <v>90</v>
      </c>
      <c r="P26" s="86">
        <f>IF(B26="","",AVERAGE(K26:O26))</f>
        <v>97.7</v>
      </c>
      <c r="Q26" s="74">
        <f>(LARGE(K26:O26,1))-(SMALL(K26:O26,1))</f>
        <v>54.5</v>
      </c>
      <c r="R26" s="83">
        <f>SQRT(((((K26-$P26)^2)+((L26-$P26)^2)+((M26-$P26)^2)+((N26-$P26)^2)+((O26-$P26)^2))/4))</f>
        <v>22.548835890129673</v>
      </c>
      <c r="S26" s="185">
        <v>79</v>
      </c>
      <c r="T26" s="185">
        <v>76</v>
      </c>
      <c r="U26" s="26">
        <f>(Controle!U26+Controle!U36)/2</f>
        <v>83</v>
      </c>
      <c r="V26" s="185">
        <f>(Controle!V26+Controle!V36)/2</f>
        <v>71</v>
      </c>
      <c r="W26" s="185">
        <f>(Controle!W26+Controle!W36)/2</f>
        <v>73</v>
      </c>
      <c r="X26" s="86">
        <f>IF(B26="","",AVERAGE(S26:W26))</f>
        <v>76.400000000000006</v>
      </c>
      <c r="Y26" s="74">
        <f>(LARGE(S26:W26,1))-(SMALL(S26:W26,1))</f>
        <v>12</v>
      </c>
      <c r="Z26" s="83">
        <f>SQRT(((((S26-$X26)^2)+((T26-$X26)^2)+((U26-$X26)^2)+((V26-$X26)^2)+((W26-$X26)^2))/4))</f>
        <v>4.7749345545253288</v>
      </c>
      <c r="AA26" s="110">
        <f>IF(B26="","",AVERAGE(C26:G26,K26:O26,S26:W26))</f>
        <v>95.166666666666671</v>
      </c>
      <c r="AC26" s="147">
        <v>1</v>
      </c>
      <c r="AD26" s="1">
        <v>10</v>
      </c>
      <c r="AE26" s="1">
        <v>2</v>
      </c>
    </row>
    <row r="27" spans="1:31" x14ac:dyDescent="0.2">
      <c r="A27" s="317"/>
      <c r="B27" s="300" t="s">
        <v>38</v>
      </c>
      <c r="C27" s="43">
        <f>(Controle!C27+Controle!C37)/2</f>
        <v>243.5</v>
      </c>
      <c r="D27" s="185">
        <f>(Controle!D27+Controle!D37)/2</f>
        <v>116.5</v>
      </c>
      <c r="E27" s="26">
        <f>(Controle!E27+Controle!E37)/2</f>
        <v>122</v>
      </c>
      <c r="F27" s="185">
        <v>96</v>
      </c>
      <c r="G27" s="190">
        <v>92</v>
      </c>
      <c r="H27" s="154">
        <f>IF(B27="","",AVERAGE(C27:G27))</f>
        <v>134</v>
      </c>
      <c r="I27" s="74">
        <f>(LARGE(C27:G27,1))-(SMALL(C27:G27,1))</f>
        <v>151.5</v>
      </c>
      <c r="J27" s="83">
        <f>SQRT(((((C27-$H27)^2)+((D27-H27)^2)+((E27-H27)^2)+((F27-H27)^2)+((G27-H27)^2))/4))</f>
        <v>62.546982341276866</v>
      </c>
      <c r="K27" s="211">
        <v>94</v>
      </c>
      <c r="L27" s="185">
        <v>88</v>
      </c>
      <c r="M27" s="26">
        <f>(Controle!M27+Controle!M37)/2</f>
        <v>107.5</v>
      </c>
      <c r="N27" s="185">
        <v>76</v>
      </c>
      <c r="O27" s="185">
        <f>(Controle!O27+Controle!O37)/2</f>
        <v>83</v>
      </c>
      <c r="P27" s="86">
        <f>IF(B27="","",AVERAGE(K27:O27))</f>
        <v>89.7</v>
      </c>
      <c r="Q27" s="74">
        <f>(LARGE(K27:O27,1))-(SMALL(K27:O27,1))</f>
        <v>31.5</v>
      </c>
      <c r="R27" s="83">
        <f>SQRT(((((K27-$P27)^2)+((L27-$P27)^2)+((M27-$P27)^2)+((N27-$P27)^2)+((O27-$P27)^2))/4))</f>
        <v>11.945710527214361</v>
      </c>
      <c r="S27" s="185">
        <v>94</v>
      </c>
      <c r="T27" s="185">
        <f>(Controle!T27+Controle!T37)/2</f>
        <v>86</v>
      </c>
      <c r="U27" s="185">
        <v>92</v>
      </c>
      <c r="V27" s="185">
        <v>79</v>
      </c>
      <c r="W27" s="185">
        <v>78</v>
      </c>
      <c r="X27" s="86">
        <f>IF(B27="","",AVERAGE(S27:W27))</f>
        <v>85.8</v>
      </c>
      <c r="Y27" s="74">
        <f>(LARGE(S27:W27,1))-(SMALL(S27:W27,1))</f>
        <v>16</v>
      </c>
      <c r="Z27" s="83">
        <f>SQRT(((((S27-$X27)^2)+((T27-$X27)^2)+((U27-$X27)^2)+((V27-$X27)^2)+((W27-$X27)^2))/4))</f>
        <v>7.2938330115241872</v>
      </c>
      <c r="AA27" s="110">
        <f>IF(B27="","",AVERAGE(C27:G27,K27:O27,S27:W27))</f>
        <v>103.16666666666667</v>
      </c>
      <c r="AC27" s="147">
        <v>3</v>
      </c>
      <c r="AD27" s="1">
        <v>10</v>
      </c>
      <c r="AE27" s="1">
        <v>1</v>
      </c>
    </row>
    <row r="28" spans="1:31" ht="13.5" thickBot="1" x14ac:dyDescent="0.25">
      <c r="A28" s="317"/>
      <c r="B28" s="300" t="s">
        <v>39</v>
      </c>
      <c r="C28" s="43">
        <f>(Controle!C28+Controle!C38)/2</f>
        <v>207</v>
      </c>
      <c r="D28" s="192">
        <f>(Controle!D28+Controle!D38)/2</f>
        <v>108.5</v>
      </c>
      <c r="E28" s="192">
        <v>95</v>
      </c>
      <c r="F28" s="192">
        <v>90</v>
      </c>
      <c r="G28" s="193">
        <v>88</v>
      </c>
      <c r="H28" s="155">
        <f>IF(B28="","",AVERAGE(C28:G28))</f>
        <v>117.7</v>
      </c>
      <c r="I28" s="80">
        <f>(LARGE(C28:G28,1))-(SMALL(C28:G28,1))</f>
        <v>119</v>
      </c>
      <c r="J28" s="84">
        <f>SQRT(((((C28-$H28)^2)+((D28-H28)^2)+((E28-H28)^2)+((F28-H28)^2)+((G28-H28)^2))/4))</f>
        <v>50.556404144282261</v>
      </c>
      <c r="K28" s="185">
        <v>90</v>
      </c>
      <c r="L28" s="185">
        <v>85</v>
      </c>
      <c r="M28" s="185">
        <v>89</v>
      </c>
      <c r="N28" s="26">
        <f>(Controle!N28+Controle!N38)/2</f>
        <v>73</v>
      </c>
      <c r="O28" s="185">
        <v>78</v>
      </c>
      <c r="P28" s="87">
        <f>IF(B28="","",AVERAGE(K28:O28))</f>
        <v>83</v>
      </c>
      <c r="Q28" s="80">
        <f>(LARGE(K28:O28,1))-(SMALL(K28:O28,1))</f>
        <v>17</v>
      </c>
      <c r="R28" s="84">
        <f>SQRT(((((K28-$P28)^2)+((L28-$P28)^2)+((M28-$P28)^2)+((N28-$P28)^2)+((O28-$P28)^2))/4))</f>
        <v>7.3143694191638966</v>
      </c>
      <c r="S28" s="185">
        <v>77</v>
      </c>
      <c r="T28" s="185">
        <f>(Controle!T28+Controle!T38)/2</f>
        <v>76</v>
      </c>
      <c r="U28" s="185">
        <v>73</v>
      </c>
      <c r="V28" s="185">
        <v>70</v>
      </c>
      <c r="W28" s="185">
        <v>72</v>
      </c>
      <c r="X28" s="87">
        <f>IF(B28="","",AVERAGE(S28:W28))</f>
        <v>73.599999999999994</v>
      </c>
      <c r="Y28" s="80">
        <f>(LARGE(S28:W28,1))-(SMALL(S28:W28,1))</f>
        <v>7</v>
      </c>
      <c r="Z28" s="84">
        <f>SQRT(((((S28-$X28)^2)+((T28-$X28)^2)+((U28-$X28)^2)+((V28-$X28)^2)+((W28-$X28)^2))/4))</f>
        <v>2.8809720581775866</v>
      </c>
      <c r="AA28" s="110">
        <f>IF(B28="","",AVERAGE(C28:G28,K28:O28,S28:W28))</f>
        <v>91.433333333333337</v>
      </c>
      <c r="AC28" s="147">
        <v>2</v>
      </c>
    </row>
    <row r="29" spans="1:31" ht="13.5" thickBot="1" x14ac:dyDescent="0.25">
      <c r="A29" s="318"/>
      <c r="B29" s="3" t="s">
        <v>6</v>
      </c>
      <c r="C29" s="216">
        <f>IF(C25="","",AVERAGE(C25:C28))</f>
        <v>205.375</v>
      </c>
      <c r="D29" s="217">
        <f t="shared" ref="D29:G29" si="12">IF(D25="","",AVERAGE(D25:D28))</f>
        <v>106.125</v>
      </c>
      <c r="E29" s="217">
        <f t="shared" si="12"/>
        <v>98</v>
      </c>
      <c r="F29" s="217">
        <f t="shared" si="12"/>
        <v>91</v>
      </c>
      <c r="G29" s="218">
        <f t="shared" si="12"/>
        <v>86.75</v>
      </c>
      <c r="H29" s="118">
        <f>(SUM(H25:H28))/4</f>
        <v>117.45</v>
      </c>
      <c r="I29" s="119">
        <f>AVERAGE(I25:I28)</f>
        <v>118.625</v>
      </c>
      <c r="J29" s="120">
        <f>(SUM(J25:J28))/20</f>
        <v>9.9774927840175458</v>
      </c>
      <c r="K29" s="125">
        <f>IF(K25="","",AVERAGE(K25:K28))</f>
        <v>89.25</v>
      </c>
      <c r="L29" s="170">
        <f>IF(L25="","",AVERAGE(L25:L28))</f>
        <v>82.25</v>
      </c>
      <c r="M29" s="170">
        <f t="shared" ref="M29:N29" si="13">IF(M25="","",AVERAGE(M25:M28))</f>
        <v>100.75</v>
      </c>
      <c r="N29" s="170">
        <f t="shared" si="13"/>
        <v>76.5</v>
      </c>
      <c r="O29" s="171">
        <f>IF(O25="","",AVERAGE(O25:O28))</f>
        <v>82.25</v>
      </c>
      <c r="P29" s="118">
        <f>(SUM(P25:P28))/4</f>
        <v>86.2</v>
      </c>
      <c r="Q29" s="119">
        <f>AVERAGE(Q25:Q28)</f>
        <v>27.75</v>
      </c>
      <c r="R29" s="120">
        <f>(SUM(R25:R28))/20</f>
        <v>2.2547625590769464</v>
      </c>
      <c r="S29" s="115">
        <f>IF(S25="","",AVERAGE(S25:S28))</f>
        <v>78.5</v>
      </c>
      <c r="T29" s="116">
        <f>IF(T25="","",AVERAGE(T25:T28))</f>
        <v>76</v>
      </c>
      <c r="U29" s="116">
        <f>IF(U25="","",AVERAGE(U25:U28))</f>
        <v>77.25</v>
      </c>
      <c r="V29" s="116">
        <f t="shared" ref="V29" si="14">IF(V25="","",AVERAGE(V25:V28))</f>
        <v>70.5</v>
      </c>
      <c r="W29" s="121">
        <f>IF(W25="","",AVERAGE(W25:W28))</f>
        <v>74</v>
      </c>
      <c r="X29" s="118">
        <f>(SUM(X25:X28))/4</f>
        <v>75.25</v>
      </c>
      <c r="Y29" s="119">
        <f>AVERAGE(Y25:Y28)</f>
        <v>11.75</v>
      </c>
      <c r="Z29" s="120">
        <f>(SUM(Z25:Z28))/20</f>
        <v>0.98570956620278716</v>
      </c>
      <c r="AA29" s="122">
        <f>(H29+P29+X29)/3</f>
        <v>92.966666666666654</v>
      </c>
      <c r="AC29" s="148">
        <f>SUM(AC25:AC28)</f>
        <v>7</v>
      </c>
    </row>
    <row r="30" spans="1:31" x14ac:dyDescent="0.2">
      <c r="A30" s="316" t="s">
        <v>13</v>
      </c>
      <c r="B30" s="306" t="s">
        <v>41</v>
      </c>
      <c r="C30" s="187">
        <f>(Controle!C30+Controle!C40)/2</f>
        <v>158.5</v>
      </c>
      <c r="D30" s="188">
        <f>(Controle!D30+Controle!D40)/2</f>
        <v>139.5</v>
      </c>
      <c r="E30" s="188">
        <v>135</v>
      </c>
      <c r="F30" s="28">
        <v>160</v>
      </c>
      <c r="G30" s="189">
        <f>(Controle!G30+Controle!G40)/2</f>
        <v>113.5</v>
      </c>
      <c r="H30" s="153">
        <f>IF(B30="","",AVERAGE(C30:G30))</f>
        <v>141.30000000000001</v>
      </c>
      <c r="I30" s="81">
        <f>(LARGE(C30:G30,1))-(SMALL(C30:G30,1))</f>
        <v>46.5</v>
      </c>
      <c r="J30" s="82">
        <f>SQRT(((((C30-$H30)^2)+((D30-H30)^2)+((E30-H30)^2)+((F30-H30)^2)+((G30-H30)^2))/4))</f>
        <v>19.11347692074888</v>
      </c>
      <c r="K30" s="187">
        <f>(Controle!K30+Controle!K40)/2</f>
        <v>104</v>
      </c>
      <c r="L30" s="188">
        <f>(Controle!L30+Controle!L40)/2</f>
        <v>108.5</v>
      </c>
      <c r="M30" s="28">
        <f>(Controle!M30+Controle!M40)/2</f>
        <v>112.5</v>
      </c>
      <c r="N30" s="188">
        <f>(Controle!N30+Controle!N40)/2</f>
        <v>99</v>
      </c>
      <c r="O30" s="189">
        <f>(Controle!O30+Controle!O40)/2</f>
        <v>106</v>
      </c>
      <c r="P30" s="85">
        <f>IF(B30="","",AVERAGE(K30:O30))</f>
        <v>106</v>
      </c>
      <c r="Q30" s="81">
        <f>(LARGE(K30:O30,1))-(SMALL(K30:O30,1))</f>
        <v>13.5</v>
      </c>
      <c r="R30" s="150">
        <f>SQRT(((((K30-$P30)^2)+((L30-$P30)^2)+((M30-$P30)^2)+((N30-$P30)^2)+((O30-$P30)^2))/4))</f>
        <v>5.0373604199024715</v>
      </c>
      <c r="S30" s="219">
        <f>(Controle!S30+Controle!S40)/2</f>
        <v>95</v>
      </c>
      <c r="T30" s="188">
        <f>(Controle!T30+Controle!T40)/2</f>
        <v>85</v>
      </c>
      <c r="U30" s="188">
        <f>(Controle!U30+Controle!U40)/2</f>
        <v>91</v>
      </c>
      <c r="V30" s="28">
        <f>(Controle!V30+Controle!V40)/2</f>
        <v>114</v>
      </c>
      <c r="W30" s="189">
        <f>(Controle!W30+Controle!W40)/2</f>
        <v>82</v>
      </c>
      <c r="X30" s="153">
        <f>IF(B30="","",AVERAGE(S30:W30))</f>
        <v>93.4</v>
      </c>
      <c r="Y30" s="81">
        <f>(LARGE(S30:W30,1))-(SMALL(S30:W30,1))</f>
        <v>32</v>
      </c>
      <c r="Z30" s="82">
        <f>SQRT(((((S30-$X30)^2)+((T30-$X30)^2)+((U30-$X30)^2)+((V30-$X30)^2)+((W30-$X30)^2))/4))</f>
        <v>12.581732790041283</v>
      </c>
      <c r="AA30" s="114">
        <f>IF(B30="","",AVERAGE(C30:G30,K30:O30,S30:W30))</f>
        <v>113.56666666666666</v>
      </c>
      <c r="AC30" s="147">
        <v>3</v>
      </c>
      <c r="AD30" s="1">
        <v>5</v>
      </c>
      <c r="AE30" s="1">
        <v>1</v>
      </c>
    </row>
    <row r="31" spans="1:31" x14ac:dyDescent="0.2">
      <c r="A31" s="317"/>
      <c r="B31" s="300" t="s">
        <v>42</v>
      </c>
      <c r="C31" s="184">
        <f>(Controle!C31+Controle!C41)/2</f>
        <v>187</v>
      </c>
      <c r="D31" s="185">
        <f>(Controle!D31+Controle!D41)/2</f>
        <v>132</v>
      </c>
      <c r="E31" s="185">
        <f>(Controle!E31+Controle!E41)/2</f>
        <v>126.5</v>
      </c>
      <c r="F31" s="25">
        <v>99</v>
      </c>
      <c r="G31" s="190">
        <f>(Controle!G31+Controle!G41)/2</f>
        <v>120.5</v>
      </c>
      <c r="H31" s="154">
        <f>IF(B31="","",AVERAGE(C31:G31))</f>
        <v>133</v>
      </c>
      <c r="I31" s="74">
        <f>(LARGE(C31:G31,1))-(SMALL(C31:G31,1))</f>
        <v>88</v>
      </c>
      <c r="J31" s="83">
        <f>SQRT(((((C31-$H31)^2)+((D31-H31)^2)+((E31-H31)^2)+((F31-H31)^2)+((G31-H31)^2))/4))</f>
        <v>32.678356751831934</v>
      </c>
      <c r="K31" s="211">
        <f>(Controle!K31+Controle!K41)/2</f>
        <v>91</v>
      </c>
      <c r="L31" s="185">
        <v>86</v>
      </c>
      <c r="M31" s="185">
        <v>92</v>
      </c>
      <c r="N31" s="26">
        <f>(Controle!N31+Controle!N41)/2</f>
        <v>122.5</v>
      </c>
      <c r="O31" s="190">
        <v>93</v>
      </c>
      <c r="P31" s="86">
        <f>IF(B31="","",AVERAGE(K31:O31))</f>
        <v>96.9</v>
      </c>
      <c r="Q31" s="74">
        <f>(LARGE(K31:O31,1))-(SMALL(K31:O31,1))</f>
        <v>36.5</v>
      </c>
      <c r="R31" s="151">
        <f>SQRT(((((K31-$P31)^2)+((L31-$P31)^2)+((M31-$P31)^2)+((N31-$P31)^2)+((O31-$P31)^2))/4))</f>
        <v>14.561936684383708</v>
      </c>
      <c r="S31" s="184">
        <v>87</v>
      </c>
      <c r="T31" s="185">
        <v>83</v>
      </c>
      <c r="U31" s="26">
        <f>(Controle!U31+Controle!U41)/2</f>
        <v>92</v>
      </c>
      <c r="V31" s="185">
        <f>(Controle!V31+Controle!V41)/2</f>
        <v>87</v>
      </c>
      <c r="W31" s="190">
        <f>(Controle!W31+Controle!W41)/2</f>
        <v>90</v>
      </c>
      <c r="X31" s="154">
        <f>IF(B31="","",AVERAGE(S31:W31))</f>
        <v>87.8</v>
      </c>
      <c r="Y31" s="74">
        <f>(LARGE(S31:W31,1))-(SMALL(S31:W31,1))</f>
        <v>9</v>
      </c>
      <c r="Z31" s="83">
        <f>SQRT(((((S31-$X31)^2)+((T31-$X31)^2)+((U31-$X31)^2)+((V31-$X31)^2)+((W31-$X31)^2))/4))</f>
        <v>3.4205262752974139</v>
      </c>
      <c r="AA31" s="110">
        <f>IF(B31="","",AVERAGE(C31:G31,K31:O31,S31:W31))</f>
        <v>105.9</v>
      </c>
      <c r="AC31" s="147">
        <v>2</v>
      </c>
      <c r="AD31" s="1">
        <v>10</v>
      </c>
      <c r="AE31" s="1">
        <v>2</v>
      </c>
    </row>
    <row r="32" spans="1:31" x14ac:dyDescent="0.2">
      <c r="A32" s="317"/>
      <c r="B32" s="300" t="s">
        <v>43</v>
      </c>
      <c r="C32" s="43">
        <f>(Controle!C32+Controle!C42)/2</f>
        <v>226.5</v>
      </c>
      <c r="D32" s="185">
        <f>(Controle!D32+Controle!D42)/2</f>
        <v>189.5</v>
      </c>
      <c r="E32" s="185">
        <f>(Controle!E32+Controle!E42)/2</f>
        <v>153</v>
      </c>
      <c r="F32" s="185">
        <f>(Controle!F32+Controle!F42)/2</f>
        <v>132</v>
      </c>
      <c r="G32" s="190">
        <f>(Controle!G32+Controle!G42)/2</f>
        <v>129.5</v>
      </c>
      <c r="H32" s="154">
        <f>IF(B32="","",AVERAGE(C32:G32))</f>
        <v>166.1</v>
      </c>
      <c r="I32" s="74">
        <f>(LARGE(C32:G32,1))-(SMALL(C32:G32,1))</f>
        <v>97</v>
      </c>
      <c r="J32" s="83">
        <f>SQRT(((((C32-$H32)^2)+((D32-H32)^2)+((E32-H32)^2)+((F32-H32)^2)+((G32-H32)^2))/4))</f>
        <v>41.441826697190848</v>
      </c>
      <c r="K32" s="14">
        <v>120</v>
      </c>
      <c r="L32" s="211">
        <v>99</v>
      </c>
      <c r="M32" s="185">
        <f>(Controle!M32+Controle!M42)/2</f>
        <v>101</v>
      </c>
      <c r="N32" s="185">
        <v>115</v>
      </c>
      <c r="O32" s="190">
        <f>(Controle!O32+Controle!O42)/2</f>
        <v>112.5</v>
      </c>
      <c r="P32" s="86">
        <f>IF(B32="","",AVERAGE(K32:O32))</f>
        <v>109.5</v>
      </c>
      <c r="Q32" s="74">
        <f>(LARGE(K32:O32,1))-(SMALL(K32:O32,1))</f>
        <v>21</v>
      </c>
      <c r="R32" s="151">
        <f>SQRT(((((K32-$P32)^2)+((L32-$P32)^2)+((M32-$P32)^2)+((N32-$P32)^2)+((O32-$P32)^2))/4))</f>
        <v>9.1104335791442992</v>
      </c>
      <c r="S32" s="184">
        <f>(Controle!S32+Controle!S42)/2</f>
        <v>101.5</v>
      </c>
      <c r="T32" s="185">
        <v>92</v>
      </c>
      <c r="U32" s="185">
        <v>93</v>
      </c>
      <c r="V32" s="26">
        <f>(Controle!V32+Controle!V42)/2</f>
        <v>100</v>
      </c>
      <c r="W32" s="174">
        <v>88</v>
      </c>
      <c r="X32" s="154">
        <f>IF(B32="","",AVERAGE(S32:W32))</f>
        <v>94.9</v>
      </c>
      <c r="Y32" s="74">
        <f>(LARGE(S32:W32,1))-(SMALL(S32:W32,1))</f>
        <v>13.5</v>
      </c>
      <c r="Z32" s="83">
        <f>SQRT(((((S32-$X32)^2)+((T32-$X32)^2)+((U32-$X32)^2)+((V32-$X32)^2)+((W32-$X32)^2))/4))</f>
        <v>5.6833088953531288</v>
      </c>
      <c r="AA32" s="110">
        <f>IF(B32="","",AVERAGE(C32:G32,K32:O32,S32:W32))</f>
        <v>123.5</v>
      </c>
      <c r="AC32" s="147">
        <v>3</v>
      </c>
      <c r="AD32" s="1">
        <v>9</v>
      </c>
      <c r="AE32" s="1">
        <v>2</v>
      </c>
    </row>
    <row r="33" spans="1:32" ht="13.5" thickBot="1" x14ac:dyDescent="0.25">
      <c r="A33" s="317"/>
      <c r="B33" s="300" t="s">
        <v>44</v>
      </c>
      <c r="C33" s="191">
        <f>(Controle!C33+Controle!C43)/2</f>
        <v>198.5</v>
      </c>
      <c r="D33" s="192">
        <f>(Controle!D33+Controle!D43)/2</f>
        <v>163.5</v>
      </c>
      <c r="E33" s="192">
        <f>(Controle!E33+Controle!E43)/2</f>
        <v>150.5</v>
      </c>
      <c r="F33" s="192">
        <f>(Controle!F33+Controle!F43)/2</f>
        <v>128</v>
      </c>
      <c r="G33" s="193">
        <f>(Controle!G33+Controle!G43)/2</f>
        <v>124.5</v>
      </c>
      <c r="H33" s="155">
        <f>IF(B33="","",AVERAGE(C33:G33))</f>
        <v>153</v>
      </c>
      <c r="I33" s="80">
        <f>(LARGE(C33:G33,1))-(SMALL(C33:G33,1))</f>
        <v>74</v>
      </c>
      <c r="J33" s="84">
        <f>SQRT(((((C33-$H33)^2)+((D33-H33)^2)+((E33-H33)^2)+((F33-H33)^2)+((G33-H33)^2))/4))</f>
        <v>30.099833886584822</v>
      </c>
      <c r="K33" s="191">
        <f>(Controle!K33+Controle!K43)/2</f>
        <v>105</v>
      </c>
      <c r="L33" s="25">
        <f>(Controle!L33+Controle!L43)/2</f>
        <v>110.5</v>
      </c>
      <c r="M33" s="192">
        <v>104</v>
      </c>
      <c r="N33" s="192">
        <v>102</v>
      </c>
      <c r="O33" s="193">
        <f>(Controle!O33+Controle!O43)/2</f>
        <v>102.5</v>
      </c>
      <c r="P33" s="87">
        <f>IF(B33="","",AVERAGE(K33:O33))</f>
        <v>104.8</v>
      </c>
      <c r="Q33" s="80">
        <f>(LARGE(K33:O33,1))-(SMALL(K33:O33,1))</f>
        <v>8.5</v>
      </c>
      <c r="R33" s="152">
        <f>SQRT(((((K33-$P33)^2)+((L33-$P33)^2)+((M33-$P33)^2)+((N33-$P33)^2)+((O33-$P33)^2))/4))</f>
        <v>3.4022051672407998</v>
      </c>
      <c r="S33" s="191">
        <f>(Controle!S33+Controle!S43)/2</f>
        <v>97</v>
      </c>
      <c r="T33" s="61">
        <f>(Controle!T33+Controle!T43)/2</f>
        <v>87</v>
      </c>
      <c r="U33" s="192">
        <v>98</v>
      </c>
      <c r="V33" s="192">
        <v>93</v>
      </c>
      <c r="W33" s="193">
        <v>90</v>
      </c>
      <c r="X33" s="155">
        <f>IF(B33="","",AVERAGE(S33:W33))</f>
        <v>93</v>
      </c>
      <c r="Y33" s="80">
        <f>(LARGE(S33:W33,1))-(SMALL(S33:W33,1))</f>
        <v>11</v>
      </c>
      <c r="Z33" s="84">
        <f>SQRT(((((S33-$X33)^2)+((T33-$X33)^2)+((U33-$X33)^2)+((V33-$X33)^2)+((W33-$X33)^2))/4))</f>
        <v>4.636809247747852</v>
      </c>
      <c r="AA33" s="110">
        <f>IF(B33="","",AVERAGE(C33:G33,K33:O33,S33:W33))</f>
        <v>116.93333333333334</v>
      </c>
      <c r="AC33" s="147">
        <v>0</v>
      </c>
    </row>
    <row r="34" spans="1:32" ht="13.5" thickBot="1" x14ac:dyDescent="0.25">
      <c r="A34" s="318"/>
      <c r="B34" s="3" t="s">
        <v>6</v>
      </c>
      <c r="C34" s="126">
        <f>IF(C30="","",AVERAGE(C30:C33))</f>
        <v>192.625</v>
      </c>
      <c r="D34" s="127">
        <f t="shared" ref="D34:G34" si="15">IF(D30="","",AVERAGE(D30:D33))</f>
        <v>156.125</v>
      </c>
      <c r="E34" s="127">
        <f t="shared" si="15"/>
        <v>141.25</v>
      </c>
      <c r="F34" s="127">
        <f t="shared" si="15"/>
        <v>129.75</v>
      </c>
      <c r="G34" s="128">
        <f t="shared" si="15"/>
        <v>122</v>
      </c>
      <c r="H34" s="118">
        <f>(SUM(H30:H33))/4</f>
        <v>148.35</v>
      </c>
      <c r="I34" s="119">
        <f>AVERAGE(I30:I33)</f>
        <v>76.375</v>
      </c>
      <c r="J34" s="120">
        <f>(SUM(J30:J33))/20</f>
        <v>6.1666747128178239</v>
      </c>
      <c r="K34" s="179">
        <f>IF(K30="","",AVERAGE(K30:K33))</f>
        <v>105</v>
      </c>
      <c r="L34" s="180">
        <f>IF(L30="","",AVERAGE(L30:L33))</f>
        <v>101</v>
      </c>
      <c r="M34" s="180">
        <f t="shared" ref="M34:N34" si="16">IF(M30="","",AVERAGE(M30:M33))</f>
        <v>102.375</v>
      </c>
      <c r="N34" s="180">
        <f t="shared" si="16"/>
        <v>109.625</v>
      </c>
      <c r="O34" s="181">
        <f>IF(O30="","",AVERAGE(O30:O33))</f>
        <v>103.5</v>
      </c>
      <c r="P34" s="118">
        <f>(SUM(P30:P33))/4</f>
        <v>104.3</v>
      </c>
      <c r="Q34" s="119">
        <f>AVERAGE(Q30:Q33)</f>
        <v>19.875</v>
      </c>
      <c r="R34" s="120">
        <f>(SUM(R30:R33))/20</f>
        <v>1.6055967925335639</v>
      </c>
      <c r="S34" s="123">
        <f>IF(S30="","",AVERAGE(S30:S33))</f>
        <v>95.125</v>
      </c>
      <c r="T34" s="76">
        <f>IF(T30="","",AVERAGE(T30:T33))</f>
        <v>86.75</v>
      </c>
      <c r="U34" s="76">
        <f>IF(U30="","",AVERAGE(U30:U33))</f>
        <v>93.5</v>
      </c>
      <c r="V34" s="76">
        <f t="shared" ref="V34" si="17">IF(V30="","",AVERAGE(V30:V33))</f>
        <v>98.5</v>
      </c>
      <c r="W34" s="124">
        <f>IF(W30="","",AVERAGE(W30:W33))</f>
        <v>87.5</v>
      </c>
      <c r="X34" s="118">
        <f>(SUM(X30:X33))/4</f>
        <v>92.275000000000006</v>
      </c>
      <c r="Y34" s="119">
        <f>AVERAGE(Y30:Y33)</f>
        <v>16.375</v>
      </c>
      <c r="Z34" s="120">
        <f>(SUM(Z30:Z33))/20</f>
        <v>1.316118860421984</v>
      </c>
      <c r="AA34" s="122">
        <f>(H34+P34+X34)/3</f>
        <v>114.97499999999998</v>
      </c>
      <c r="AC34" s="148">
        <f>SUM(AC30:AC33)</f>
        <v>8</v>
      </c>
    </row>
    <row r="35" spans="1:32" x14ac:dyDescent="0.2">
      <c r="A35" s="316" t="s">
        <v>14</v>
      </c>
      <c r="B35" s="306" t="s">
        <v>45</v>
      </c>
      <c r="C35" s="187">
        <f>(Controle!C35+Controle!C40)/2</f>
        <v>185.5</v>
      </c>
      <c r="D35" s="188">
        <f>(Controle!D35+Controle!D40)/2</f>
        <v>134.5</v>
      </c>
      <c r="E35" s="188">
        <f>(Controle!E35+Controle!E40)/2</f>
        <v>124</v>
      </c>
      <c r="F35" s="188">
        <f>(Controle!F35+Controle!F40)/2</f>
        <v>125.5</v>
      </c>
      <c r="G35" s="189">
        <f>(Controle!G35+Controle!G40)/2</f>
        <v>105</v>
      </c>
      <c r="H35" s="153">
        <f>IF(B35="","",AVERAGE(C35:G35))</f>
        <v>134.9</v>
      </c>
      <c r="I35" s="81">
        <f>(LARGE(C35:G35,1))-(SMALL(C35:G35,1))</f>
        <v>80.5</v>
      </c>
      <c r="J35" s="150">
        <f>SQRT(((((C35-$H35)^2)+((D35-H35)^2)+((E35-H35)^2)+((F35-H35)^2)+((G35-H35)^2))/4))</f>
        <v>30.255991142251478</v>
      </c>
      <c r="K35" s="187">
        <v>92</v>
      </c>
      <c r="L35" s="28">
        <f>(Controle!L35+Controle!L40)/2</f>
        <v>105</v>
      </c>
      <c r="M35" s="188">
        <f>(Controle!M35+Controle!M40)/2</f>
        <v>88</v>
      </c>
      <c r="N35" s="211">
        <f>(Controle!N35+Controle!N40)/2</f>
        <v>96</v>
      </c>
      <c r="O35" s="189">
        <f>(Controle!O35+Controle!O40)/2</f>
        <v>93</v>
      </c>
      <c r="P35" s="153">
        <f>IF(B35="","",AVERAGE(K35:O35))</f>
        <v>94.8</v>
      </c>
      <c r="Q35" s="81">
        <f>(LARGE(K35:O35,1))-(SMALL(K35:O35,1))</f>
        <v>17</v>
      </c>
      <c r="R35" s="82">
        <f>SQRT(((((K35-$P35)^2)+((L35-$P35)^2)+((M35-$P35)^2)+((N35-$P35)^2)+((O35-$P35)^2))/4))</f>
        <v>6.3796551630946317</v>
      </c>
      <c r="S35" s="185">
        <v>94</v>
      </c>
      <c r="T35" s="185">
        <v>84</v>
      </c>
      <c r="U35" s="185">
        <f>(Controle!U35+Controle!U40)/2</f>
        <v>88</v>
      </c>
      <c r="V35" s="185">
        <f>(Controle!V35+Controle!V40)/2</f>
        <v>85</v>
      </c>
      <c r="W35" s="185">
        <v>87</v>
      </c>
      <c r="X35" s="85">
        <f>IF(B35="","",AVERAGE(S35:W35))</f>
        <v>87.6</v>
      </c>
      <c r="Y35" s="81">
        <f>(LARGE(S35:W35,1))-(SMALL(S35:W35,1))</f>
        <v>10</v>
      </c>
      <c r="Z35" s="82">
        <f>SQRT(((((S35-$X35)^2)+((T35-$X35)^2)+((U35-$X35)^2)+((V35-$X35)^2)+((W35-$X35)^2))/4))</f>
        <v>3.9115214431215892</v>
      </c>
      <c r="AA35" s="114">
        <f>IF(B35="","",AVERAGE(C35:G35,K35:O35,S35:W35))</f>
        <v>105.76666666666667</v>
      </c>
      <c r="AC35" s="147">
        <v>1</v>
      </c>
      <c r="AD35" s="1">
        <v>7</v>
      </c>
      <c r="AE35" s="1">
        <v>0</v>
      </c>
    </row>
    <row r="36" spans="1:32" x14ac:dyDescent="0.2">
      <c r="A36" s="317"/>
      <c r="B36" s="306" t="s">
        <v>46</v>
      </c>
      <c r="C36" s="184">
        <f>(Controle!C36+Controle!C41)/2</f>
        <v>176</v>
      </c>
      <c r="D36" s="185">
        <f>(Controle!D36+Controle!D41)/2</f>
        <v>129</v>
      </c>
      <c r="E36" s="185">
        <f>(Controle!E36+Controle!E41)/2</f>
        <v>125</v>
      </c>
      <c r="F36" s="185">
        <f>(Controle!F36+Controle!F41)/2</f>
        <v>106.5</v>
      </c>
      <c r="G36" s="190">
        <f>(Controle!G36+Controle!G41)/2</f>
        <v>107</v>
      </c>
      <c r="H36" s="154">
        <f>IF(B36="","",AVERAGE(C36:G36))</f>
        <v>128.69999999999999</v>
      </c>
      <c r="I36" s="74">
        <f>(LARGE(C36:G36,1))-(SMALL(C36:G36,1))</f>
        <v>69.5</v>
      </c>
      <c r="J36" s="151">
        <f>SQRT(((((C36-$H36)^2)+((D36-H36)^2)+((E36-H36)^2)+((F36-H36)^2)+((G36-H36)^2))/4))</f>
        <v>28.34960317182588</v>
      </c>
      <c r="K36" s="184">
        <f>(Controle!K36+Controle!K41)/2</f>
        <v>96</v>
      </c>
      <c r="L36" s="185">
        <v>93</v>
      </c>
      <c r="M36" s="26">
        <f>(Controle!M36+Controle!M41)/2</f>
        <v>112.5</v>
      </c>
      <c r="N36" s="185">
        <f>(Controle!N36+Controle!N41)/2</f>
        <v>94</v>
      </c>
      <c r="O36" s="190">
        <v>91</v>
      </c>
      <c r="P36" s="154">
        <f>IF(B36="","",AVERAGE(K36:O36))</f>
        <v>97.3</v>
      </c>
      <c r="Q36" s="74">
        <f>(LARGE(K36:O36,1))-(SMALL(K36:O36,1))</f>
        <v>21.5</v>
      </c>
      <c r="R36" s="83">
        <f>SQRT(((((K36-$P36)^2)+((L36-$P36)^2)+((M36-$P36)^2)+((N36-$P36)^2)+((O36-$P36)^2))/4))</f>
        <v>8.6861959452915851</v>
      </c>
      <c r="S36" s="211">
        <f>(Controle!S36+Controle!S41)/2</f>
        <v>85</v>
      </c>
      <c r="T36" s="185">
        <f>(Controle!T36+Controle!T41)/2</f>
        <v>81</v>
      </c>
      <c r="U36" s="26">
        <v>93</v>
      </c>
      <c r="V36" s="185">
        <v>82</v>
      </c>
      <c r="W36" s="185">
        <f>(Controle!W36+Controle!W41)/2</f>
        <v>87</v>
      </c>
      <c r="X36" s="86">
        <f>IF(B36="","",AVERAGE(S36:W36))</f>
        <v>85.6</v>
      </c>
      <c r="Y36" s="74">
        <f>(LARGE(S36:W36,1))-(SMALL(S36:W36,1))</f>
        <v>12</v>
      </c>
      <c r="Z36" s="83">
        <f>SQRT(((((S36-$X36)^2)+((T36-$X36)^2)+((U36-$X36)^2)+((V36-$X36)^2)+((W36-$X36)^2))/4))</f>
        <v>4.7749345545253288</v>
      </c>
      <c r="AA36" s="110">
        <f>IF(B36="","",AVERAGE(C36:G36,K36:O36,S36:W36))</f>
        <v>103.86666666666666</v>
      </c>
      <c r="AC36" s="147">
        <v>2</v>
      </c>
      <c r="AD36" s="1">
        <v>5</v>
      </c>
      <c r="AE36" s="1">
        <v>1</v>
      </c>
    </row>
    <row r="37" spans="1:32" x14ac:dyDescent="0.2">
      <c r="A37" s="317"/>
      <c r="B37" s="306" t="s">
        <v>47</v>
      </c>
      <c r="C37" s="43">
        <f>(Controle!C37+Controle!C42)/2</f>
        <v>225</v>
      </c>
      <c r="D37" s="185">
        <f>(Controle!D37+Controle!D42)/2</f>
        <v>165</v>
      </c>
      <c r="E37" s="185">
        <f>(Controle!E37+Controle!E42)/2</f>
        <v>134</v>
      </c>
      <c r="F37" s="185">
        <f>(Controle!F37+Controle!F42)/2</f>
        <v>115</v>
      </c>
      <c r="G37" s="190">
        <f>(Controle!G37+Controle!G42)/2</f>
        <v>112</v>
      </c>
      <c r="H37" s="154">
        <f>IF(B37="","",AVERAGE(C37:G37))</f>
        <v>150.19999999999999</v>
      </c>
      <c r="I37" s="74">
        <f>(LARGE(C37:G37,1))-(SMALL(C37:G37,1))</f>
        <v>113</v>
      </c>
      <c r="J37" s="151">
        <f>SQRT(((((C37-$H37)^2)+((D37-H37)^2)+((E37-H37)^2)+((F37-H37)^2)+((G37-H37)^2))/4))</f>
        <v>46.836951224433896</v>
      </c>
      <c r="K37" s="211">
        <f>(Controle!K37+Controle!K42)/2</f>
        <v>104</v>
      </c>
      <c r="L37" s="25">
        <f>(Controle!L37+Controle!L42)/2</f>
        <v>88</v>
      </c>
      <c r="M37" s="185">
        <v>95</v>
      </c>
      <c r="N37" s="185">
        <f>(Controle!N37+Controle!N42)/2</f>
        <v>100</v>
      </c>
      <c r="O37" s="190">
        <f>(Controle!O37+Controle!O42)/2</f>
        <v>99</v>
      </c>
      <c r="P37" s="154">
        <f>IF(B37="","",AVERAGE(K37:O37))</f>
        <v>97.2</v>
      </c>
      <c r="Q37" s="74">
        <f>(LARGE(K37:O37,1))-(SMALL(K37:O37,1))</f>
        <v>16</v>
      </c>
      <c r="R37" s="83">
        <f>SQRT(((((K37-$P37)^2)+((L37-$P37)^2)+((M37-$P37)^2)+((N37-$P37)^2)+((O37-$P37)^2))/4))</f>
        <v>6.058052492344383</v>
      </c>
      <c r="S37" s="185">
        <f>(Controle!S37+Controle!S42)/2</f>
        <v>96</v>
      </c>
      <c r="T37" s="185">
        <f>(Controle!T37+Controle!T42)/2</f>
        <v>86</v>
      </c>
      <c r="U37" s="185">
        <v>87</v>
      </c>
      <c r="V37" s="185">
        <v>86</v>
      </c>
      <c r="W37" s="185">
        <v>83</v>
      </c>
      <c r="X37" s="86">
        <f>IF(B37="","",AVERAGE(S37:W37))</f>
        <v>87.6</v>
      </c>
      <c r="Y37" s="74">
        <f>(LARGE(S37:W37,1))-(SMALL(S37:W37,1))</f>
        <v>13</v>
      </c>
      <c r="Z37" s="83">
        <f>SQRT(((((S37-$X37)^2)+((T37-$X37)^2)+((U37-$X37)^2)+((V37-$X37)^2)+((W37-$X37)^2))/4))</f>
        <v>4.9295030175464953</v>
      </c>
      <c r="AA37" s="110">
        <f>IF(B37="","",AVERAGE(C37:G37,K37:O37,S37:W37))</f>
        <v>111.66666666666667</v>
      </c>
      <c r="AC37" s="147">
        <v>1</v>
      </c>
      <c r="AD37" s="1">
        <v>10</v>
      </c>
      <c r="AE37" s="1">
        <v>1</v>
      </c>
    </row>
    <row r="38" spans="1:32" ht="13.5" thickBot="1" x14ac:dyDescent="0.25">
      <c r="A38" s="317"/>
      <c r="B38" s="306" t="s">
        <v>48</v>
      </c>
      <c r="C38" s="191">
        <f>(Controle!C38+Controle!C43)/2</f>
        <v>198</v>
      </c>
      <c r="D38" s="192">
        <f>(Controle!D38+Controle!D43)/2</f>
        <v>146</v>
      </c>
      <c r="E38" s="192">
        <f>(Controle!E38+Controle!E43)/2</f>
        <v>123.5</v>
      </c>
      <c r="F38" s="192">
        <f>(Controle!F38+Controle!F43)/2</f>
        <v>114</v>
      </c>
      <c r="G38" s="193">
        <f>(Controle!G38+Controle!G43)/2</f>
        <v>110</v>
      </c>
      <c r="H38" s="155">
        <f>IF(B38="","",AVERAGE(C38:G38))</f>
        <v>138.30000000000001</v>
      </c>
      <c r="I38" s="80">
        <f>(LARGE(C38:G38,1))-(SMALL(C38:G38,1))</f>
        <v>88</v>
      </c>
      <c r="J38" s="152">
        <f>SQRT(((((C38-$H38)^2)+((D38-H38)^2)+((E38-H38)^2)+((F38-H38)^2)+((G38-H38)^2))/4))</f>
        <v>36.172503369272079</v>
      </c>
      <c r="K38" s="211">
        <f>(Controle!K38+Controle!K43)/2</f>
        <v>98</v>
      </c>
      <c r="L38" s="192">
        <f>(Controle!L38+Controle!L43)/2</f>
        <v>94</v>
      </c>
      <c r="M38" s="192">
        <v>93</v>
      </c>
      <c r="N38" s="192">
        <f>(Controle!N38+Controle!N43)/2</f>
        <v>92</v>
      </c>
      <c r="O38" s="193">
        <f>(Controle!O38+Controle!O43)/2</f>
        <v>88</v>
      </c>
      <c r="P38" s="155">
        <f>IF(B38="","",AVERAGE(K38:O38))</f>
        <v>93</v>
      </c>
      <c r="Q38" s="80">
        <f>(LARGE(K38:O38,1))-(SMALL(K38:O38,1))</f>
        <v>10</v>
      </c>
      <c r="R38" s="84">
        <f>SQRT(((((K38-$P38)^2)+((L38-$P38)^2)+((M38-$P38)^2)+((N38-$P38)^2)+((O38-$P38)^2))/4))</f>
        <v>3.6055512754639891</v>
      </c>
      <c r="S38" s="185">
        <f>(Controle!S38+Controle!S43)/2</f>
        <v>89</v>
      </c>
      <c r="T38" s="185">
        <f>(Controle!T38+Controle!T43)/2</f>
        <v>83</v>
      </c>
      <c r="U38" s="185">
        <f>(Controle!U38+Controle!U43)/2</f>
        <v>83</v>
      </c>
      <c r="V38" s="185">
        <f>(Controle!V38+Controle!V43)/2</f>
        <v>82</v>
      </c>
      <c r="W38" s="185">
        <f>(Controle!W38+Controle!W43)/2</f>
        <v>82</v>
      </c>
      <c r="X38" s="87">
        <f>IF(B38="","",AVERAGE(S38:W38))</f>
        <v>83.8</v>
      </c>
      <c r="Y38" s="80">
        <f>(LARGE(S38:W38,1))-(SMALL(S38:W38,1))</f>
        <v>7</v>
      </c>
      <c r="Z38" s="84">
        <f>SQRT(((((S38-$X38)^2)+((T38-$X38)^2)+((U38-$X38)^2)+((V38-$X38)^2)+((W38-$X38)^2))/4))</f>
        <v>2.9495762407505253</v>
      </c>
      <c r="AA38" s="110">
        <f>IF(B38="","",AVERAGE(C38:G38,K38:O38,S38:W38))</f>
        <v>105.03333333333333</v>
      </c>
      <c r="AC38" s="147">
        <v>0</v>
      </c>
      <c r="AD38" s="1">
        <v>10</v>
      </c>
      <c r="AE38" s="1">
        <v>0</v>
      </c>
    </row>
    <row r="39" spans="1:32" ht="13.5" thickBot="1" x14ac:dyDescent="0.25">
      <c r="A39" s="318"/>
      <c r="B39" s="3" t="s">
        <v>6</v>
      </c>
      <c r="C39" s="126">
        <f>IF(C35="","",AVERAGE(C35:C38))</f>
        <v>196.125</v>
      </c>
      <c r="D39" s="127">
        <f t="shared" ref="D39:G39" si="18">IF(D35="","",AVERAGE(D35:D38))</f>
        <v>143.625</v>
      </c>
      <c r="E39" s="127">
        <f t="shared" si="18"/>
        <v>126.625</v>
      </c>
      <c r="F39" s="127">
        <f t="shared" si="18"/>
        <v>115.25</v>
      </c>
      <c r="G39" s="128">
        <f t="shared" si="18"/>
        <v>108.5</v>
      </c>
      <c r="H39" s="118">
        <f>(SUM(H35:H38))/4</f>
        <v>138.02500000000001</v>
      </c>
      <c r="I39" s="119">
        <f>AVERAGE(I35:I38)</f>
        <v>87.75</v>
      </c>
      <c r="J39" s="120">
        <f>(SUM(J35:J38))/20</f>
        <v>7.0807524453891659</v>
      </c>
      <c r="K39" s="126">
        <f>IF(K35="","",AVERAGE(K35:K38))</f>
        <v>97.5</v>
      </c>
      <c r="L39" s="127">
        <f>IF(L35="","",AVERAGE(L35:L38))</f>
        <v>95</v>
      </c>
      <c r="M39" s="127">
        <f t="shared" ref="M39:N39" si="19">IF(M35="","",AVERAGE(M35:M38))</f>
        <v>97.125</v>
      </c>
      <c r="N39" s="127">
        <f t="shared" si="19"/>
        <v>95.5</v>
      </c>
      <c r="O39" s="128">
        <f>IF(O35="","",AVERAGE(O35:O38))</f>
        <v>92.75</v>
      </c>
      <c r="P39" s="118">
        <f>(SUM(P35:P38))/4</f>
        <v>95.575000000000003</v>
      </c>
      <c r="Q39" s="119">
        <f>AVERAGE(Q35:Q38)</f>
        <v>16.125</v>
      </c>
      <c r="R39" s="120">
        <f>(SUM(R35:R38))/20</f>
        <v>1.2364727438097294</v>
      </c>
      <c r="S39" s="115">
        <f>IF(S35="","",AVERAGE(S35:S38))</f>
        <v>91</v>
      </c>
      <c r="T39" s="116">
        <f>IF(T35="","",AVERAGE(T35:T38))</f>
        <v>83.5</v>
      </c>
      <c r="U39" s="116">
        <f>IF(U35="","",AVERAGE(U35:U38))</f>
        <v>87.75</v>
      </c>
      <c r="V39" s="116">
        <f t="shared" ref="V39" si="20">IF(V35="","",AVERAGE(V35:V38))</f>
        <v>83.75</v>
      </c>
      <c r="W39" s="121">
        <f>IF(W35="","",AVERAGE(W35:W38))</f>
        <v>84.75</v>
      </c>
      <c r="X39" s="118">
        <f>(SUM(X35:X38))/4</f>
        <v>86.149999999999991</v>
      </c>
      <c r="Y39" s="119">
        <f>AVERAGE(Y35:Y38)</f>
        <v>10.5</v>
      </c>
      <c r="Z39" s="120">
        <f>(SUM(Z35:Z38))/20</f>
        <v>0.82827676279719697</v>
      </c>
      <c r="AA39" s="122">
        <f>(H39+P39+X39)/3</f>
        <v>106.58333333333333</v>
      </c>
      <c r="AC39" s="148">
        <f>SUM(AC35:AC38)</f>
        <v>4</v>
      </c>
    </row>
    <row r="40" spans="1:32" x14ac:dyDescent="0.2">
      <c r="A40" s="316" t="s">
        <v>15</v>
      </c>
      <c r="B40" s="306" t="s">
        <v>40</v>
      </c>
      <c r="C40" s="187">
        <f>(Controle!C35+Controle!C40+Controle!$H40+Controle!$H35)/4</f>
        <v>160.20000000000002</v>
      </c>
      <c r="D40" s="188">
        <f>(Controle!D35+Controle!D40+Controle!$H40+Controle!$H35)/4</f>
        <v>134.70000000000002</v>
      </c>
      <c r="E40" s="188">
        <f>(Controle!E35+Controle!E40+Controle!$H40+Controle!$H35)/4</f>
        <v>129.45000000000002</v>
      </c>
      <c r="F40" s="188">
        <f>(Controle!F35+Controle!F40+Controle!$H40+Controle!$H35)/4</f>
        <v>130.20000000000002</v>
      </c>
      <c r="G40" s="189">
        <f>(Controle!G35+Controle!G40+Controle!$H40+Controle!$H35)/4</f>
        <v>119.95</v>
      </c>
      <c r="H40" s="153">
        <f>IF(B40="","",AVERAGE(C40:G40))</f>
        <v>134.90000000000003</v>
      </c>
      <c r="I40" s="81">
        <f>(LARGE(C40:G40,1))-(SMALL(C40:G40,1))</f>
        <v>40.250000000000014</v>
      </c>
      <c r="J40" s="150">
        <f>SQRT(((((C40-$H40)^2)+((D40-H40)^2)+((E40-H40)^2)+((F40-H40)^2)+((G40-H40)^2))/4))</f>
        <v>15.127995571125743</v>
      </c>
      <c r="K40" s="187">
        <v>94</v>
      </c>
      <c r="L40" s="188">
        <v>99</v>
      </c>
      <c r="M40" s="211">
        <v>91</v>
      </c>
      <c r="N40" s="188">
        <v>95</v>
      </c>
      <c r="O40" s="189">
        <v>93</v>
      </c>
      <c r="P40" s="153">
        <f>IF(B40="","",AVERAGE(K40:O40))</f>
        <v>94.4</v>
      </c>
      <c r="Q40" s="81">
        <f>(LARGE(K40:O40,1))-(SMALL(K40:O40,1))</f>
        <v>8</v>
      </c>
      <c r="R40" s="150">
        <f>SQRT(((((K40-$P40)^2)+((L40-$P40)^2)+((M40-$P40)^2)+((N40-$P40)^2)+((O40-$P40)^2))/4))</f>
        <v>2.9664793948382648</v>
      </c>
      <c r="S40" s="187">
        <v>91</v>
      </c>
      <c r="T40" s="188">
        <v>86</v>
      </c>
      <c r="U40" s="188">
        <v>88</v>
      </c>
      <c r="V40" s="188">
        <v>86</v>
      </c>
      <c r="W40" s="189">
        <v>87</v>
      </c>
      <c r="X40" s="153">
        <f>IF(B40="","",AVERAGE(S40:W40))</f>
        <v>87.6</v>
      </c>
      <c r="Y40" s="81">
        <f>(LARGE(S40:W40,1))-(SMALL(S40:W40,1))</f>
        <v>5</v>
      </c>
      <c r="Z40" s="82">
        <f>SQRT(((((S40-$X40)^2)+((T40-$X40)^2)+((U40-$X40)^2)+((V40-$X40)^2)+((W40-$X40)^2))/4))</f>
        <v>2.0736441353327719</v>
      </c>
      <c r="AA40" s="112">
        <f>IF(B40="","",AVERAGE(C40:G40,K40:O40,S40:W40))</f>
        <v>105.63333333333334</v>
      </c>
      <c r="AC40" s="147">
        <v>0</v>
      </c>
      <c r="AD40" s="1">
        <v>8</v>
      </c>
      <c r="AE40" s="1">
        <v>0</v>
      </c>
    </row>
    <row r="41" spans="1:32" x14ac:dyDescent="0.2">
      <c r="A41" s="317"/>
      <c r="B41" s="300" t="s">
        <v>49</v>
      </c>
      <c r="C41" s="184">
        <f>(Controle!C36+Controle!C41+Controle!$H41+Controle!$H36)/4</f>
        <v>152.35</v>
      </c>
      <c r="D41" s="185">
        <f>(Controle!D36+Controle!D41+Controle!$H41+Controle!$H36)/4</f>
        <v>128.85</v>
      </c>
      <c r="E41" s="185">
        <f>(Controle!E36+Controle!E41+Controle!$H41+Controle!$H36)/4</f>
        <v>126.85</v>
      </c>
      <c r="F41" s="185">
        <f>(Controle!F36+Controle!F41+Controle!$H41+Controle!$H36)/4</f>
        <v>117.6</v>
      </c>
      <c r="G41" s="190">
        <f>(Controle!G36+Controle!G41+Controle!$H41+Controle!$H36)/4</f>
        <v>117.85</v>
      </c>
      <c r="H41" s="154">
        <f>IF(B41="","",AVERAGE(C41:G41))</f>
        <v>128.69999999999999</v>
      </c>
      <c r="I41" s="74">
        <f>(LARGE(C41:G41,1))-(SMALL(C41:G41,1))</f>
        <v>34.75</v>
      </c>
      <c r="J41" s="151">
        <f>SQRT(((((C41-$H41)^2)+((D41-H41)^2)+((E41-H41)^2)+((F41-H41)^2)+((G41-H41)^2))/4))</f>
        <v>14.17480158591294</v>
      </c>
      <c r="K41" s="26">
        <v>110</v>
      </c>
      <c r="L41" s="211">
        <v>95</v>
      </c>
      <c r="M41" s="185">
        <v>97</v>
      </c>
      <c r="N41" s="185">
        <v>96</v>
      </c>
      <c r="O41" s="190">
        <v>94</v>
      </c>
      <c r="P41" s="154">
        <f>IF(B41="","",AVERAGE(K41:O41))</f>
        <v>98.4</v>
      </c>
      <c r="Q41" s="74">
        <f>(LARGE(K41:O41,1))-(SMALL(K41:O41,1))</f>
        <v>16</v>
      </c>
      <c r="R41" s="151">
        <f>SQRT(((((K41-$P41)^2)+((L41-$P41)^2)+((M41-$P41)^2)+((N41-$P41)^2)+((O41-$P41)^2))/4))</f>
        <v>6.58027355054484</v>
      </c>
      <c r="S41" s="184">
        <v>85</v>
      </c>
      <c r="T41" s="185">
        <v>83</v>
      </c>
      <c r="U41" s="26">
        <v>89</v>
      </c>
      <c r="V41" s="185">
        <v>84</v>
      </c>
      <c r="W41" s="190">
        <v>86</v>
      </c>
      <c r="X41" s="154">
        <f>IF(B41="","",AVERAGE(S41:W41))</f>
        <v>85.4</v>
      </c>
      <c r="Y41" s="74">
        <f>(LARGE(S41:W41,1))-(SMALL(S41:W41,1))</f>
        <v>6</v>
      </c>
      <c r="Z41" s="83">
        <f>SQRT(((((S41-$X41)^2)+((T41-$X41)^2)+((U41-$X41)^2)+((V41-$X41)^2)+((W41-$X41)^2))/4))</f>
        <v>2.3021728866442674</v>
      </c>
      <c r="AA41" s="113">
        <f>IF(B41="","",AVERAGE(C41:G41,K41:O41,S41:W41))</f>
        <v>104.16666666666667</v>
      </c>
      <c r="AC41" s="147">
        <v>2</v>
      </c>
      <c r="AD41" s="1">
        <v>9</v>
      </c>
      <c r="AE41" s="1">
        <v>1</v>
      </c>
    </row>
    <row r="42" spans="1:32" x14ac:dyDescent="0.2">
      <c r="A42" s="317"/>
      <c r="B42" s="300" t="s">
        <v>50</v>
      </c>
      <c r="C42" s="184">
        <f>(Controle!C37+Controle!C42+Controle!$H42+Controle!$H37)/4</f>
        <v>187.6</v>
      </c>
      <c r="D42" s="26">
        <f>(Controle!D37+Controle!D42+Controle!$H42+Controle!$H37)/4</f>
        <v>157.6</v>
      </c>
      <c r="E42" s="185">
        <f>(Controle!E37+Controle!E42+Controle!$H42+Controle!$H37)/4</f>
        <v>142.1</v>
      </c>
      <c r="F42" s="185">
        <f>(Controle!F37+Controle!F42+Controle!$H42+Controle!$H37)/4</f>
        <v>132.6</v>
      </c>
      <c r="G42" s="190">
        <f>(Controle!G37+Controle!G42+Controle!$H42+Controle!$H37)/4</f>
        <v>131.1</v>
      </c>
      <c r="H42" s="154">
        <f>IF(B42="","",AVERAGE(C42:G42))</f>
        <v>150.19999999999999</v>
      </c>
      <c r="I42" s="74">
        <f>(LARGE(C42:G42,1))-(SMALL(C42:G42,1))</f>
        <v>56.5</v>
      </c>
      <c r="J42" s="151">
        <f>SQRT(((((C42-$H42)^2)+((D42-H42)^2)+((E42-H42)^2)+((F42-H42)^2)+((G42-H42)^2))/4))</f>
        <v>23.418475612216948</v>
      </c>
      <c r="K42" s="184">
        <f>(Controle!K37+Controle!K42+Controle!$P42+Controle!$P37)/4</f>
        <v>100.55000000000001</v>
      </c>
      <c r="L42" s="185">
        <v>93</v>
      </c>
      <c r="M42" s="185">
        <v>95</v>
      </c>
      <c r="N42" s="185">
        <v>99</v>
      </c>
      <c r="O42" s="190">
        <v>98</v>
      </c>
      <c r="P42" s="154">
        <f>IF(B42="","",AVERAGE(K42:O42))</f>
        <v>97.11</v>
      </c>
      <c r="Q42" s="74">
        <f>(LARGE(K42:O42,1))-(SMALL(K42:O42,1))</f>
        <v>7.5500000000000114</v>
      </c>
      <c r="R42" s="151">
        <f>SQRT(((((K42-$P42)^2)+((L42-$P42)^2)+((M42-$P42)^2)+((N42-$P42)^2)+((O42-$P42)^2))/4))</f>
        <v>3.063576341467602</v>
      </c>
      <c r="S42" s="211">
        <v>92</v>
      </c>
      <c r="T42" s="185">
        <v>87</v>
      </c>
      <c r="U42" s="185">
        <v>88</v>
      </c>
      <c r="V42" s="185">
        <v>86</v>
      </c>
      <c r="W42" s="190">
        <v>84</v>
      </c>
      <c r="X42" s="154">
        <f>IF(B42="","",AVERAGE(S42:W42))</f>
        <v>87.4</v>
      </c>
      <c r="Y42" s="74">
        <f>(LARGE(S42:W42,1))-(SMALL(S42:W42,1))</f>
        <v>8</v>
      </c>
      <c r="Z42" s="83">
        <f>SQRT(((((S42-$X42)^2)+((T42-$X42)^2)+((U42-$X42)^2)+((V42-$X42)^2)+((W42-$X42)^2))/4))</f>
        <v>2.9664793948382648</v>
      </c>
      <c r="AA42" s="113">
        <f>IF(B42="","",AVERAGE(C42:G42,K42:O42,S42:W42))</f>
        <v>111.57</v>
      </c>
      <c r="AC42" s="147">
        <v>1</v>
      </c>
      <c r="AD42" s="1">
        <v>5</v>
      </c>
      <c r="AE42" s="1">
        <v>0</v>
      </c>
    </row>
    <row r="43" spans="1:32" ht="13.5" thickBot="1" x14ac:dyDescent="0.25">
      <c r="A43" s="317"/>
      <c r="B43" s="300" t="s">
        <v>51</v>
      </c>
      <c r="C43" s="191">
        <f>(Controle!C38+Controle!C43+Controle!$H43+Controle!$H38)/4</f>
        <v>168.14999999999998</v>
      </c>
      <c r="D43" s="192">
        <f>(Controle!D38+Controle!D43+Controle!$H43+Controle!$H38)/4</f>
        <v>142.15</v>
      </c>
      <c r="E43" s="192">
        <f>(Controle!E38+Controle!E43+Controle!$H43+Controle!$H38)/4</f>
        <v>130.9</v>
      </c>
      <c r="F43" s="192">
        <f>(Controle!F38+Controle!F43+Controle!$H43+Controle!$H38)/4</f>
        <v>126.15</v>
      </c>
      <c r="G43" s="193">
        <f>(Controle!G38+Controle!G43+Controle!$H43+Controle!$H38)/4</f>
        <v>124.15</v>
      </c>
      <c r="H43" s="155">
        <f>IF(B43="","",AVERAGE(C43:G43))</f>
        <v>138.29999999999998</v>
      </c>
      <c r="I43" s="80">
        <f>(LARGE(C43:G43,1))-(SMALL(C43:G43,1))</f>
        <v>43.999999999999972</v>
      </c>
      <c r="J43" s="152">
        <f>SQRT(((((C43-$H43)^2)+((D43-H43)^2)+((E43-H43)^2)+((F43-H43)^2)+((G43-H43)^2))/4))</f>
        <v>18.086251684636029</v>
      </c>
      <c r="K43" s="191">
        <v>96</v>
      </c>
      <c r="L43" s="192">
        <v>94</v>
      </c>
      <c r="M43" s="192">
        <v>93</v>
      </c>
      <c r="N43" s="211">
        <v>93</v>
      </c>
      <c r="O43" s="193">
        <v>91</v>
      </c>
      <c r="P43" s="155">
        <f>IF(B43="","",AVERAGE(K43:O43))</f>
        <v>93.4</v>
      </c>
      <c r="Q43" s="80">
        <f>(LARGE(K43:O43,1))-(SMALL(K43:O43,1))</f>
        <v>5</v>
      </c>
      <c r="R43" s="152">
        <f>SQRT(((((K43-$P43)^2)+((L43-$P43)^2)+((M43-$P43)^2)+((N43-$P43)^2)+((O43-$P43)^2))/4))</f>
        <v>1.8165902124584949</v>
      </c>
      <c r="S43" s="191">
        <v>86</v>
      </c>
      <c r="T43" s="192">
        <v>84</v>
      </c>
      <c r="U43" s="192">
        <v>83</v>
      </c>
      <c r="V43" s="192">
        <v>82</v>
      </c>
      <c r="W43" s="193">
        <v>83</v>
      </c>
      <c r="X43" s="155">
        <f>IF(B43="","",AVERAGE(S43:W43))</f>
        <v>83.6</v>
      </c>
      <c r="Y43" s="80">
        <f>(LARGE(S43:W43,1))-(SMALL(S43:W43,1))</f>
        <v>4</v>
      </c>
      <c r="Z43" s="84">
        <f>SQRT(((((S43-$X43)^2)+((T43-$X43)^2)+((U43-$X43)^2)+((V43-$X43)^2)+((W43-$X43)^2))/4))</f>
        <v>1.51657508881031</v>
      </c>
      <c r="AA43" s="113">
        <f>IF(B43="","",AVERAGE(C43:G43,K43:O43,S43:W43))</f>
        <v>105.1</v>
      </c>
      <c r="AC43" s="147">
        <v>0</v>
      </c>
      <c r="AD43" s="1">
        <v>7</v>
      </c>
      <c r="AE43" s="1">
        <v>0</v>
      </c>
    </row>
    <row r="44" spans="1:32" ht="13.5" thickBot="1" x14ac:dyDescent="0.25">
      <c r="A44" s="318"/>
      <c r="B44" s="3" t="s">
        <v>6</v>
      </c>
      <c r="C44" s="123">
        <f>IF(C40="","",AVERAGE(C40:C43))</f>
        <v>167.07499999999999</v>
      </c>
      <c r="D44" s="76">
        <f t="shared" ref="D44:G44" si="21">IF(D40="","",AVERAGE(D40:D43))</f>
        <v>140.82499999999999</v>
      </c>
      <c r="E44" s="76">
        <f t="shared" si="21"/>
        <v>132.32499999999999</v>
      </c>
      <c r="F44" s="76">
        <f t="shared" si="21"/>
        <v>126.63749999999999</v>
      </c>
      <c r="G44" s="124">
        <f t="shared" si="21"/>
        <v>123.26249999999999</v>
      </c>
      <c r="H44" s="118">
        <f>(SUM(H40:H43))/4</f>
        <v>138.02500000000001</v>
      </c>
      <c r="I44" s="129">
        <f>AVERAGE(I40:I43)</f>
        <v>43.874999999999993</v>
      </c>
      <c r="J44" s="130">
        <f>(SUM(J40:J43))/20</f>
        <v>3.540376222694583</v>
      </c>
      <c r="K44" s="123">
        <f>IF(K40="","",AVERAGE(K40:K43))</f>
        <v>100.1375</v>
      </c>
      <c r="L44" s="76">
        <f>IF(L40="","",AVERAGE(L40:L43))</f>
        <v>95.25</v>
      </c>
      <c r="M44" s="76">
        <f t="shared" ref="M44:N44" si="22">IF(M40="","",AVERAGE(M40:M43))</f>
        <v>94</v>
      </c>
      <c r="N44" s="76">
        <f t="shared" si="22"/>
        <v>95.75</v>
      </c>
      <c r="O44" s="124">
        <f>IF(O40="","",AVERAGE(O40:O43))</f>
        <v>94</v>
      </c>
      <c r="P44" s="118">
        <f>(SUM(P40:P43))/4</f>
        <v>95.827500000000015</v>
      </c>
      <c r="Q44" s="129">
        <f>AVERAGE(Q40:Q43)</f>
        <v>9.1375000000000028</v>
      </c>
      <c r="R44" s="130">
        <f>(SUM(R40:R43))/20</f>
        <v>0.72134597496546005</v>
      </c>
      <c r="S44" s="123">
        <f>IF(S40="","",AVERAGE(S40:S43))</f>
        <v>88.5</v>
      </c>
      <c r="T44" s="76">
        <f>IF(T40="","",AVERAGE(T40:T43))</f>
        <v>85</v>
      </c>
      <c r="U44" s="76">
        <f>IF(U40="","",AVERAGE(U40:U43))</f>
        <v>87</v>
      </c>
      <c r="V44" s="76">
        <f t="shared" ref="V44" si="23">IF(V40="","",AVERAGE(V40:V43))</f>
        <v>84.5</v>
      </c>
      <c r="W44" s="124">
        <f>IF(W40="","",AVERAGE(W40:W43))</f>
        <v>85</v>
      </c>
      <c r="X44" s="118">
        <f>(SUM(X40:X43))/4</f>
        <v>86</v>
      </c>
      <c r="Y44" s="129">
        <f>AVERAGE(Y40:Y43)</f>
        <v>5.75</v>
      </c>
      <c r="Z44" s="130">
        <f>(SUM(Z40:Z43))/20</f>
        <v>0.44294357528128075</v>
      </c>
      <c r="AA44" s="122">
        <f>(H44+P44+X44)/3</f>
        <v>106.61750000000001</v>
      </c>
      <c r="AC44" s="149">
        <f>SUM(AC40:AC43)</f>
        <v>3</v>
      </c>
      <c r="AD44" s="1">
        <v>7</v>
      </c>
      <c r="AE44" s="1">
        <v>0</v>
      </c>
    </row>
    <row r="45" spans="1:32" ht="13.5" thickBot="1" x14ac:dyDescent="0.25">
      <c r="I45" s="133">
        <f>AVERAGE(I5:I8,I10:I13,I15:I18,I20:I23,I25:I28,I30:I33,I35:I38,I40:I43)</f>
        <v>74.4140625</v>
      </c>
      <c r="J45" s="132">
        <f>((SUM(J40:J43))+(SUM(J35:J38)+(SUM(J30:J33)+(SUM(J25:J28)+(SUM(J20:J23))+(SUM(J15:J18))+(SUM(J10:J13))+(SUM(J5:J8))))))/32</f>
        <v>30.313488005501259</v>
      </c>
      <c r="Q45" s="131">
        <f t="shared" ref="Q45" si="24">AVERAGE(Q5:Q8,Q10:Q13,Q15:Q18,Q20:Q23,Q25:Q28,Q30:Q33,Q35:Q38,Q40:Q43)</f>
        <v>16.234375</v>
      </c>
      <c r="R45" s="132">
        <f>((SUM(R40:R43))+(SUM(R35:R38)+(SUM(R30:R33)+(SUM(R25:R28)+(SUM(R20:R23))+(SUM(R15:R18))+(SUM(R10:R13))+(SUM(R5:R8))))))/32</f>
        <v>6.464305825123394</v>
      </c>
      <c r="Y45" s="131">
        <f>AVERAGE(Y5:Y8,Y10:Y13,Y15:Y18,Y20:Y23,Y25:Y28,Y30:Y33,Y35:Y38,Y40:Y43)</f>
        <v>10.8203125</v>
      </c>
      <c r="Z45" s="132">
        <f>((SUM(Z40:Z43))+(SUM(Z35:Z38)+(SUM(Z30:Z33)+(SUM(Z25:Z28)+(SUM(Z20:Z23))+(SUM(Z15:Z18))+(SUM(Z10:Z13))+(SUM(Z5:Z8))))))/32</f>
        <v>4.3426202597605519</v>
      </c>
      <c r="AC45" s="145">
        <f>AC44+AC39+AC34+AC29+AC24+AC19+AC14+AC9</f>
        <v>43</v>
      </c>
      <c r="AD45" s="1">
        <f>SUM(AD2:AD44)</f>
        <v>241</v>
      </c>
      <c r="AE45" s="1">
        <f>SUM(AE2:AE44)</f>
        <v>22</v>
      </c>
      <c r="AF45" s="146">
        <f>AE45/AD45</f>
        <v>9.1286307053941904E-2</v>
      </c>
    </row>
    <row r="46" spans="1:32" ht="15" customHeight="1" thickBot="1" x14ac:dyDescent="0.25">
      <c r="A46" s="329" t="s">
        <v>60</v>
      </c>
      <c r="B46" s="330"/>
      <c r="C46" s="330"/>
      <c r="D46" s="330"/>
      <c r="E46" s="330"/>
      <c r="F46" s="330"/>
      <c r="G46" s="330"/>
      <c r="H46" s="330"/>
      <c r="I46" s="330"/>
      <c r="J46" s="331"/>
      <c r="AC46" s="9">
        <v>480</v>
      </c>
    </row>
    <row r="47" spans="1:32" ht="15" customHeight="1" thickBot="1" x14ac:dyDescent="0.25">
      <c r="A47" s="348" t="s">
        <v>58</v>
      </c>
      <c r="B47" s="349"/>
      <c r="C47" s="91"/>
      <c r="D47" s="348" t="s">
        <v>55</v>
      </c>
      <c r="E47" s="349"/>
      <c r="F47" s="92"/>
      <c r="G47" s="326" t="s">
        <v>59</v>
      </c>
      <c r="H47" s="327"/>
      <c r="I47" s="328"/>
      <c r="J47" s="90"/>
      <c r="AC47" s="138">
        <f>AC45/AC46</f>
        <v>8.9583333333333334E-2</v>
      </c>
    </row>
    <row r="48" spans="1:32" ht="15" customHeight="1" x14ac:dyDescent="0.2">
      <c r="F48" s="9">
        <v>13</v>
      </c>
      <c r="AB48" s="1" t="s">
        <v>129</v>
      </c>
      <c r="AC48" s="9">
        <v>10</v>
      </c>
      <c r="AD48" s="146">
        <f>AC48/AC51</f>
        <v>0.2857142857142857</v>
      </c>
      <c r="AE48" s="146">
        <f>AC48/AC46</f>
        <v>2.0833333333333332E-2</v>
      </c>
    </row>
    <row r="49" spans="4:31" x14ac:dyDescent="0.2">
      <c r="F49" s="138">
        <f>F48/AC46</f>
        <v>2.7083333333333334E-2</v>
      </c>
      <c r="K49" s="9">
        <v>12</v>
      </c>
      <c r="L49" s="9">
        <v>5</v>
      </c>
      <c r="M49" s="9">
        <v>3</v>
      </c>
      <c r="N49" s="9">
        <v>2</v>
      </c>
      <c r="O49" s="9">
        <v>1</v>
      </c>
      <c r="S49" s="9">
        <v>5</v>
      </c>
      <c r="X49" s="9">
        <f>SUM(K49:W49)</f>
        <v>28</v>
      </c>
      <c r="AB49" s="1" t="s">
        <v>130</v>
      </c>
      <c r="AC49" s="9">
        <v>16</v>
      </c>
      <c r="AD49" s="146">
        <f>AC49/AC51</f>
        <v>0.45714285714285713</v>
      </c>
      <c r="AE49" s="146">
        <f>AC49/AC46</f>
        <v>3.3333333333333333E-2</v>
      </c>
    </row>
    <row r="50" spans="4:31" x14ac:dyDescent="0.2">
      <c r="K50" s="138">
        <f>K49/$X$50</f>
        <v>0.375</v>
      </c>
      <c r="L50" s="138">
        <f>L49/$X$50</f>
        <v>0.15625</v>
      </c>
      <c r="M50" s="138">
        <f>M49/$X$50</f>
        <v>9.375E-2</v>
      </c>
      <c r="N50" s="138">
        <f>N49/$X$50</f>
        <v>6.25E-2</v>
      </c>
      <c r="O50" s="138">
        <f>O49/$X$50</f>
        <v>3.125E-2</v>
      </c>
      <c r="S50" s="138">
        <f>S49/$X$50</f>
        <v>0.15625</v>
      </c>
      <c r="T50" s="138">
        <f>T49/$X$50</f>
        <v>0</v>
      </c>
      <c r="W50" s="9" t="s">
        <v>71</v>
      </c>
      <c r="X50" s="9">
        <v>32</v>
      </c>
      <c r="AB50" s="1" t="s">
        <v>131</v>
      </c>
      <c r="AC50" s="9">
        <v>9</v>
      </c>
      <c r="AD50" s="146">
        <f>AC50/AC51</f>
        <v>0.25714285714285712</v>
      </c>
      <c r="AE50" s="146">
        <f>AC50/AC46</f>
        <v>1.8749999999999999E-2</v>
      </c>
    </row>
    <row r="51" spans="4:31" x14ac:dyDescent="0.2">
      <c r="J51" s="9" t="s">
        <v>133</v>
      </c>
      <c r="X51" s="138">
        <f>X49/X50</f>
        <v>0.875</v>
      </c>
      <c r="AC51" s="9">
        <f>SUM(AC48:AC50)</f>
        <v>35</v>
      </c>
    </row>
    <row r="52" spans="4:31" x14ac:dyDescent="0.2">
      <c r="X52" s="138">
        <f>10/X49</f>
        <v>0.35714285714285715</v>
      </c>
    </row>
    <row r="53" spans="4:31" ht="13.5" thickBot="1" x14ac:dyDescent="0.25">
      <c r="N53" s="9" t="s">
        <v>136</v>
      </c>
      <c r="P53" s="9" t="s">
        <v>137</v>
      </c>
    </row>
    <row r="54" spans="4:31" ht="13.5" thickBot="1" x14ac:dyDescent="0.25">
      <c r="I54" s="165"/>
      <c r="J54" s="166" t="s">
        <v>109</v>
      </c>
      <c r="K54" s="4" t="s">
        <v>110</v>
      </c>
      <c r="N54" s="9">
        <f>3*8</f>
        <v>24</v>
      </c>
      <c r="P54" s="9">
        <v>24</v>
      </c>
      <c r="U54" s="138">
        <f>5/32</f>
        <v>0.15625</v>
      </c>
    </row>
    <row r="55" spans="4:31" x14ac:dyDescent="0.2">
      <c r="D55" s="311" t="s">
        <v>125</v>
      </c>
      <c r="E55" s="312"/>
      <c r="F55" s="4">
        <v>280</v>
      </c>
      <c r="I55" s="163" t="s">
        <v>127</v>
      </c>
      <c r="J55" s="164"/>
      <c r="K55" s="139"/>
      <c r="N55" s="9">
        <v>8</v>
      </c>
      <c r="P55" s="9">
        <v>15</v>
      </c>
    </row>
    <row r="56" spans="4:31" ht="13.5" thickBot="1" x14ac:dyDescent="0.25">
      <c r="D56" s="309" t="s">
        <v>126</v>
      </c>
      <c r="E56" s="310"/>
      <c r="F56" s="139">
        <v>480</v>
      </c>
      <c r="I56" s="167" t="s">
        <v>128</v>
      </c>
      <c r="J56" s="168"/>
      <c r="K56" s="5"/>
      <c r="N56" s="347">
        <f>N55/N54</f>
        <v>0.33333333333333331</v>
      </c>
      <c r="O56" s="347"/>
      <c r="P56" s="347">
        <f>P55/P54</f>
        <v>0.625</v>
      </c>
      <c r="Q56" s="347"/>
    </row>
    <row r="57" spans="4:31" ht="13.5" thickBot="1" x14ac:dyDescent="0.25">
      <c r="D57" s="167" t="s">
        <v>123</v>
      </c>
      <c r="E57" s="168"/>
      <c r="F57" s="140">
        <f>F55/F56</f>
        <v>0.58333333333333337</v>
      </c>
      <c r="U57" s="223"/>
      <c r="V57" s="347"/>
      <c r="W57" s="347"/>
    </row>
    <row r="58" spans="4:31" x14ac:dyDescent="0.2">
      <c r="V58" s="1"/>
      <c r="W58" s="1"/>
    </row>
  </sheetData>
  <mergeCells count="35">
    <mergeCell ref="V57:W57"/>
    <mergeCell ref="N56:O56"/>
    <mergeCell ref="P56:Q56"/>
    <mergeCell ref="A1:AA1"/>
    <mergeCell ref="A2:F2"/>
    <mergeCell ref="G2:J2"/>
    <mergeCell ref="K2:M2"/>
    <mergeCell ref="N2:O2"/>
    <mergeCell ref="P2:Q2"/>
    <mergeCell ref="R2:S2"/>
    <mergeCell ref="T2:U2"/>
    <mergeCell ref="V2:W2"/>
    <mergeCell ref="X2:Y2"/>
    <mergeCell ref="A30:A34"/>
    <mergeCell ref="Z2:AA2"/>
    <mergeCell ref="A5:A9"/>
    <mergeCell ref="AC2:AC4"/>
    <mergeCell ref="A3:A4"/>
    <mergeCell ref="B3:B4"/>
    <mergeCell ref="C3:J3"/>
    <mergeCell ref="K3:R3"/>
    <mergeCell ref="S3:Z3"/>
    <mergeCell ref="AA3:AA4"/>
    <mergeCell ref="A10:A14"/>
    <mergeCell ref="A15:A19"/>
    <mergeCell ref="A20:A24"/>
    <mergeCell ref="A25:A29"/>
    <mergeCell ref="D55:E55"/>
    <mergeCell ref="D56:E56"/>
    <mergeCell ref="A35:A39"/>
    <mergeCell ref="A40:A44"/>
    <mergeCell ref="A46:J46"/>
    <mergeCell ref="A47:B47"/>
    <mergeCell ref="D47:E47"/>
    <mergeCell ref="G47:I47"/>
  </mergeCells>
  <printOptions horizontalCentered="1" verticalCentered="1"/>
  <pageMargins left="0.19685039370078741" right="0.19685039370078741" top="0.35433070866141736" bottom="0.35433070866141736" header="0" footer="0"/>
  <pageSetup paperSize="9" scale="9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55A82-9BEE-4D12-9504-A4A1B4E57BE4}">
  <dimension ref="B1:I43"/>
  <sheetViews>
    <sheetView workbookViewId="0">
      <selection activeCell="L7" sqref="L7"/>
    </sheetView>
  </sheetViews>
  <sheetFormatPr defaultRowHeight="15" x14ac:dyDescent="0.25"/>
  <cols>
    <col min="2" max="2" width="12.42578125" style="12" customWidth="1"/>
    <col min="3" max="3" width="9.42578125" style="12" customWidth="1"/>
    <col min="4" max="4" width="15.42578125" style="12" bestFit="1" customWidth="1"/>
    <col min="5" max="5" width="29.42578125" bestFit="1" customWidth="1"/>
    <col min="7" max="7" width="29.42578125" bestFit="1" customWidth="1"/>
    <col min="8" max="8" width="22.5703125" bestFit="1" customWidth="1"/>
  </cols>
  <sheetData>
    <row r="1" spans="2:9" ht="15.75" thickBot="1" x14ac:dyDescent="0.3"/>
    <row r="2" spans="2:9" ht="15.75" thickBot="1" x14ac:dyDescent="0.3">
      <c r="B2" s="350" t="s">
        <v>139</v>
      </c>
      <c r="C2" s="351"/>
      <c r="D2" s="351"/>
      <c r="E2" s="352"/>
    </row>
    <row r="3" spans="2:9" ht="15.75" thickBot="1" x14ac:dyDescent="0.3">
      <c r="B3" s="236" t="s">
        <v>54</v>
      </c>
      <c r="C3" s="237" t="s">
        <v>55</v>
      </c>
      <c r="D3" s="237" t="s">
        <v>56</v>
      </c>
      <c r="E3" s="238" t="s">
        <v>57</v>
      </c>
      <c r="G3" s="375" t="s">
        <v>142</v>
      </c>
      <c r="H3" s="376"/>
      <c r="I3" s="377"/>
    </row>
    <row r="4" spans="2:9" ht="15.75" thickBot="1" x14ac:dyDescent="0.3">
      <c r="B4" s="231" t="s">
        <v>21</v>
      </c>
      <c r="C4" s="232">
        <v>0</v>
      </c>
      <c r="D4" s="232" t="s">
        <v>116</v>
      </c>
      <c r="E4" s="233" t="s">
        <v>116</v>
      </c>
      <c r="G4" s="101" t="s">
        <v>122</v>
      </c>
      <c r="H4" s="102" t="s">
        <v>121</v>
      </c>
      <c r="I4" s="103" t="s">
        <v>123</v>
      </c>
    </row>
    <row r="5" spans="2:9" x14ac:dyDescent="0.25">
      <c r="B5" s="31" t="s">
        <v>22</v>
      </c>
      <c r="C5" s="30">
        <v>0</v>
      </c>
      <c r="D5" s="30" t="s">
        <v>116</v>
      </c>
      <c r="E5" s="66" t="s">
        <v>116</v>
      </c>
      <c r="F5" s="94"/>
      <c r="G5" s="98" t="s">
        <v>72</v>
      </c>
      <c r="H5" s="99">
        <f t="shared" ref="H5:H10" si="0">SUMIF($E$4:$E$42,G5,$C$4:$C$42)</f>
        <v>8</v>
      </c>
      <c r="I5" s="100">
        <f t="shared" ref="I5:I10" si="1">H5/$H$11</f>
        <v>0.42105263157894735</v>
      </c>
    </row>
    <row r="6" spans="2:9" x14ac:dyDescent="0.25">
      <c r="B6" s="31" t="s">
        <v>23</v>
      </c>
      <c r="C6" s="30">
        <v>0</v>
      </c>
      <c r="D6" s="30" t="s">
        <v>116</v>
      </c>
      <c r="E6" s="66" t="s">
        <v>116</v>
      </c>
      <c r="F6" s="94"/>
      <c r="G6" s="95" t="s">
        <v>77</v>
      </c>
      <c r="H6" s="30">
        <f t="shared" si="0"/>
        <v>4</v>
      </c>
      <c r="I6" s="96">
        <f t="shared" si="1"/>
        <v>0.21052631578947367</v>
      </c>
    </row>
    <row r="7" spans="2:9" x14ac:dyDescent="0.25">
      <c r="B7" s="227" t="s">
        <v>24</v>
      </c>
      <c r="C7" s="30">
        <v>0</v>
      </c>
      <c r="D7" s="30" t="s">
        <v>116</v>
      </c>
      <c r="E7" s="66" t="s">
        <v>116</v>
      </c>
      <c r="F7" s="94"/>
      <c r="G7" s="97" t="s">
        <v>115</v>
      </c>
      <c r="H7" s="30">
        <f t="shared" si="0"/>
        <v>2</v>
      </c>
      <c r="I7" s="96">
        <f t="shared" si="1"/>
        <v>0.10526315789473684</v>
      </c>
    </row>
    <row r="8" spans="2:9" x14ac:dyDescent="0.25">
      <c r="B8" s="227" t="s">
        <v>25</v>
      </c>
      <c r="C8" s="30">
        <v>0</v>
      </c>
      <c r="D8" s="30" t="s">
        <v>116</v>
      </c>
      <c r="E8" s="66" t="s">
        <v>116</v>
      </c>
      <c r="F8" s="94"/>
      <c r="G8" s="95" t="s">
        <v>68</v>
      </c>
      <c r="H8" s="30">
        <f t="shared" si="0"/>
        <v>2</v>
      </c>
      <c r="I8" s="96">
        <f t="shared" si="1"/>
        <v>0.10526315789473684</v>
      </c>
    </row>
    <row r="9" spans="2:9" x14ac:dyDescent="0.25">
      <c r="B9" s="31" t="s">
        <v>26</v>
      </c>
      <c r="C9" s="30">
        <v>0</v>
      </c>
      <c r="D9" s="30" t="s">
        <v>116</v>
      </c>
      <c r="E9" s="66" t="s">
        <v>116</v>
      </c>
      <c r="F9" s="94"/>
      <c r="G9" s="95" t="s">
        <v>98</v>
      </c>
      <c r="H9" s="30">
        <f t="shared" si="0"/>
        <v>2</v>
      </c>
      <c r="I9" s="96">
        <f t="shared" si="1"/>
        <v>0.10526315789473684</v>
      </c>
    </row>
    <row r="10" spans="2:9" ht="15.75" thickBot="1" x14ac:dyDescent="0.3">
      <c r="B10" s="31" t="s">
        <v>27</v>
      </c>
      <c r="C10" s="30">
        <v>0</v>
      </c>
      <c r="D10" s="30" t="s">
        <v>116</v>
      </c>
      <c r="E10" s="66" t="s">
        <v>116</v>
      </c>
      <c r="F10" s="94"/>
      <c r="G10" s="95" t="s">
        <v>75</v>
      </c>
      <c r="H10" s="30">
        <f t="shared" si="0"/>
        <v>1</v>
      </c>
      <c r="I10" s="96">
        <f t="shared" si="1"/>
        <v>5.2631578947368418E-2</v>
      </c>
    </row>
    <row r="11" spans="2:9" ht="15.75" thickBot="1" x14ac:dyDescent="0.3">
      <c r="B11" s="227" t="s">
        <v>28</v>
      </c>
      <c r="C11" s="30">
        <v>1</v>
      </c>
      <c r="D11" s="30" t="s">
        <v>117</v>
      </c>
      <c r="E11" s="66" t="s">
        <v>115</v>
      </c>
      <c r="F11" s="94"/>
      <c r="G11" s="104" t="s">
        <v>71</v>
      </c>
      <c r="H11" s="105">
        <f>SUM(H5:H10)</f>
        <v>19</v>
      </c>
      <c r="I11" s="106">
        <f>SUM(I5:I10)</f>
        <v>1</v>
      </c>
    </row>
    <row r="12" spans="2:9" x14ac:dyDescent="0.25">
      <c r="B12" s="31" t="s">
        <v>20</v>
      </c>
      <c r="C12" s="30">
        <v>0</v>
      </c>
      <c r="D12" s="30" t="s">
        <v>116</v>
      </c>
      <c r="E12" s="66" t="s">
        <v>116</v>
      </c>
      <c r="F12" s="94"/>
      <c r="G12" s="371" t="s">
        <v>82</v>
      </c>
      <c r="H12" s="372"/>
      <c r="I12" s="226">
        <f>4*8*15</f>
        <v>480</v>
      </c>
    </row>
    <row r="13" spans="2:9" ht="15.75" thickBot="1" x14ac:dyDescent="0.3">
      <c r="B13" s="358" t="s">
        <v>29</v>
      </c>
      <c r="C13" s="30">
        <v>1</v>
      </c>
      <c r="D13" s="30" t="s">
        <v>86</v>
      </c>
      <c r="E13" s="66" t="s">
        <v>68</v>
      </c>
      <c r="F13" s="94"/>
      <c r="G13" s="373" t="s">
        <v>83</v>
      </c>
      <c r="H13" s="374"/>
      <c r="I13" s="107">
        <f>H11/I12</f>
        <v>3.9583333333333331E-2</v>
      </c>
    </row>
    <row r="14" spans="2:9" ht="15.75" thickBot="1" x14ac:dyDescent="0.3">
      <c r="B14" s="359"/>
      <c r="C14" s="30">
        <v>1</v>
      </c>
      <c r="D14" s="30" t="s">
        <v>86</v>
      </c>
      <c r="E14" s="66" t="s">
        <v>72</v>
      </c>
      <c r="F14" s="94"/>
      <c r="G14" s="368" t="s">
        <v>124</v>
      </c>
      <c r="H14" s="369"/>
      <c r="I14" s="234">
        <f>(COUNTIF(C4:C42,0))/32</f>
        <v>0.65625</v>
      </c>
    </row>
    <row r="15" spans="2:9" x14ac:dyDescent="0.25">
      <c r="B15" s="378" t="s">
        <v>30</v>
      </c>
      <c r="C15" s="30">
        <v>1</v>
      </c>
      <c r="D15" s="30" t="s">
        <v>67</v>
      </c>
      <c r="E15" s="66" t="s">
        <v>77</v>
      </c>
      <c r="F15" s="94"/>
    </row>
    <row r="16" spans="2:9" x14ac:dyDescent="0.25">
      <c r="B16" s="379"/>
      <c r="C16" s="30">
        <v>1</v>
      </c>
      <c r="D16" s="30" t="s">
        <v>74</v>
      </c>
      <c r="E16" s="66" t="s">
        <v>72</v>
      </c>
    </row>
    <row r="17" spans="2:5" x14ac:dyDescent="0.25">
      <c r="B17" s="31" t="s">
        <v>31</v>
      </c>
      <c r="C17" s="30">
        <v>0</v>
      </c>
      <c r="D17" s="30" t="s">
        <v>116</v>
      </c>
      <c r="E17" s="66" t="s">
        <v>116</v>
      </c>
    </row>
    <row r="18" spans="2:5" x14ac:dyDescent="0.25">
      <c r="B18" s="378" t="s">
        <v>32</v>
      </c>
      <c r="C18" s="30">
        <v>1</v>
      </c>
      <c r="D18" s="30" t="s">
        <v>69</v>
      </c>
      <c r="E18" s="66" t="s">
        <v>72</v>
      </c>
    </row>
    <row r="19" spans="2:5" x14ac:dyDescent="0.25">
      <c r="B19" s="379"/>
      <c r="C19" s="30">
        <v>1</v>
      </c>
      <c r="D19" s="30" t="s">
        <v>69</v>
      </c>
      <c r="E19" s="66" t="s">
        <v>98</v>
      </c>
    </row>
    <row r="20" spans="2:5" x14ac:dyDescent="0.25">
      <c r="B20" s="227" t="s">
        <v>33</v>
      </c>
      <c r="C20" s="30">
        <v>0</v>
      </c>
      <c r="D20" s="30" t="s">
        <v>116</v>
      </c>
      <c r="E20" s="66" t="s">
        <v>116</v>
      </c>
    </row>
    <row r="21" spans="2:5" x14ac:dyDescent="0.25">
      <c r="B21" s="31" t="s">
        <v>34</v>
      </c>
      <c r="C21" s="30">
        <v>1</v>
      </c>
      <c r="D21" s="30" t="s">
        <v>114</v>
      </c>
      <c r="E21" s="66" t="s">
        <v>77</v>
      </c>
    </row>
    <row r="22" spans="2:5" x14ac:dyDescent="0.25">
      <c r="B22" s="31" t="s">
        <v>35</v>
      </c>
      <c r="C22" s="30">
        <v>1</v>
      </c>
      <c r="D22" s="30" t="s">
        <v>86</v>
      </c>
      <c r="E22" s="66" t="s">
        <v>72</v>
      </c>
    </row>
    <row r="23" spans="2:5" x14ac:dyDescent="0.25">
      <c r="B23" s="227" t="s">
        <v>36</v>
      </c>
      <c r="C23" s="30">
        <v>0</v>
      </c>
      <c r="D23" s="30" t="s">
        <v>116</v>
      </c>
      <c r="E23" s="66" t="s">
        <v>116</v>
      </c>
    </row>
    <row r="24" spans="2:5" x14ac:dyDescent="0.25">
      <c r="B24" s="378" t="s">
        <v>37</v>
      </c>
      <c r="C24" s="30">
        <v>1</v>
      </c>
      <c r="D24" s="30" t="s">
        <v>67</v>
      </c>
      <c r="E24" s="66" t="s">
        <v>77</v>
      </c>
    </row>
    <row r="25" spans="2:5" x14ac:dyDescent="0.25">
      <c r="B25" s="380"/>
      <c r="C25" s="30">
        <v>1</v>
      </c>
      <c r="D25" s="30" t="s">
        <v>86</v>
      </c>
      <c r="E25" s="66" t="s">
        <v>68</v>
      </c>
    </row>
    <row r="26" spans="2:5" x14ac:dyDescent="0.25">
      <c r="B26" s="379"/>
      <c r="C26" s="30">
        <v>1</v>
      </c>
      <c r="D26" s="30" t="s">
        <v>86</v>
      </c>
      <c r="E26" s="66" t="s">
        <v>75</v>
      </c>
    </row>
    <row r="27" spans="2:5" x14ac:dyDescent="0.25">
      <c r="B27" s="227" t="s">
        <v>38</v>
      </c>
      <c r="C27" s="30">
        <v>0</v>
      </c>
      <c r="D27" s="30" t="s">
        <v>116</v>
      </c>
      <c r="E27" s="66" t="s">
        <v>116</v>
      </c>
    </row>
    <row r="28" spans="2:5" x14ac:dyDescent="0.25">
      <c r="B28" s="31" t="s">
        <v>39</v>
      </c>
      <c r="C28" s="30">
        <v>0</v>
      </c>
      <c r="D28" s="30" t="s">
        <v>116</v>
      </c>
      <c r="E28" s="66" t="s">
        <v>116</v>
      </c>
    </row>
    <row r="29" spans="2:5" x14ac:dyDescent="0.25">
      <c r="B29" s="227" t="s">
        <v>41</v>
      </c>
      <c r="C29" s="30">
        <v>0</v>
      </c>
      <c r="D29" s="30" t="s">
        <v>116</v>
      </c>
      <c r="E29" s="66" t="s">
        <v>116</v>
      </c>
    </row>
    <row r="30" spans="2:5" x14ac:dyDescent="0.25">
      <c r="B30" s="227" t="s">
        <v>42</v>
      </c>
      <c r="C30" s="30">
        <v>1</v>
      </c>
      <c r="D30" s="30" t="s">
        <v>79</v>
      </c>
      <c r="E30" s="66" t="s">
        <v>72</v>
      </c>
    </row>
    <row r="31" spans="2:5" x14ac:dyDescent="0.25">
      <c r="B31" s="31" t="s">
        <v>43</v>
      </c>
      <c r="C31" s="30">
        <v>1</v>
      </c>
      <c r="D31" s="30" t="s">
        <v>78</v>
      </c>
      <c r="E31" s="66" t="s">
        <v>115</v>
      </c>
    </row>
    <row r="32" spans="2:5" x14ac:dyDescent="0.25">
      <c r="B32" s="358" t="s">
        <v>44</v>
      </c>
      <c r="C32" s="30">
        <v>2</v>
      </c>
      <c r="D32" s="30" t="s">
        <v>140</v>
      </c>
      <c r="E32" s="229" t="s">
        <v>72</v>
      </c>
    </row>
    <row r="33" spans="2:5" x14ac:dyDescent="0.25">
      <c r="B33" s="359"/>
      <c r="C33" s="30">
        <v>1</v>
      </c>
      <c r="D33" s="30" t="s">
        <v>85</v>
      </c>
      <c r="E33" s="66" t="s">
        <v>77</v>
      </c>
    </row>
    <row r="34" spans="2:5" x14ac:dyDescent="0.25">
      <c r="B34" s="31" t="s">
        <v>45</v>
      </c>
      <c r="C34" s="30">
        <v>0</v>
      </c>
      <c r="D34" s="30" t="s">
        <v>116</v>
      </c>
      <c r="E34" s="66" t="s">
        <v>116</v>
      </c>
    </row>
    <row r="35" spans="2:5" x14ac:dyDescent="0.25">
      <c r="B35" s="31" t="s">
        <v>46</v>
      </c>
      <c r="C35" s="30">
        <v>0</v>
      </c>
      <c r="D35" s="30" t="s">
        <v>116</v>
      </c>
      <c r="E35" s="66" t="s">
        <v>116</v>
      </c>
    </row>
    <row r="36" spans="2:5" x14ac:dyDescent="0.25">
      <c r="B36" s="358" t="s">
        <v>47</v>
      </c>
      <c r="C36" s="30">
        <v>1</v>
      </c>
      <c r="D36" s="30" t="s">
        <v>85</v>
      </c>
      <c r="E36" s="66" t="s">
        <v>72</v>
      </c>
    </row>
    <row r="37" spans="2:5" x14ac:dyDescent="0.25">
      <c r="B37" s="359"/>
      <c r="C37" s="30">
        <v>1</v>
      </c>
      <c r="D37" s="30" t="s">
        <v>85</v>
      </c>
      <c r="E37" s="229" t="s">
        <v>98</v>
      </c>
    </row>
    <row r="38" spans="2:5" x14ac:dyDescent="0.25">
      <c r="B38" s="227" t="s">
        <v>48</v>
      </c>
      <c r="C38" s="30">
        <v>0</v>
      </c>
      <c r="D38" s="30" t="s">
        <v>116</v>
      </c>
      <c r="E38" s="66" t="s">
        <v>116</v>
      </c>
    </row>
    <row r="39" spans="2:5" x14ac:dyDescent="0.25">
      <c r="B39" s="31" t="s">
        <v>40</v>
      </c>
      <c r="C39" s="30">
        <v>0</v>
      </c>
      <c r="D39" s="30" t="s">
        <v>116</v>
      </c>
      <c r="E39" s="66" t="s">
        <v>116</v>
      </c>
    </row>
    <row r="40" spans="2:5" x14ac:dyDescent="0.25">
      <c r="B40" s="227" t="s">
        <v>49</v>
      </c>
      <c r="C40" s="30">
        <v>0</v>
      </c>
      <c r="D40" s="30" t="s">
        <v>116</v>
      </c>
      <c r="E40" s="66" t="s">
        <v>116</v>
      </c>
    </row>
    <row r="41" spans="2:5" x14ac:dyDescent="0.25">
      <c r="B41" s="31" t="s">
        <v>50</v>
      </c>
      <c r="C41" s="30">
        <v>0</v>
      </c>
      <c r="D41" s="30" t="s">
        <v>116</v>
      </c>
      <c r="E41" s="66" t="s">
        <v>116</v>
      </c>
    </row>
    <row r="42" spans="2:5" ht="15.75" thickBot="1" x14ac:dyDescent="0.3">
      <c r="B42" s="224" t="s">
        <v>51</v>
      </c>
      <c r="C42" s="34">
        <v>0</v>
      </c>
      <c r="D42" s="34" t="s">
        <v>116</v>
      </c>
      <c r="E42" s="230" t="s">
        <v>116</v>
      </c>
    </row>
    <row r="43" spans="2:5" ht="15.75" thickBot="1" x14ac:dyDescent="0.3">
      <c r="B43" s="36" t="s">
        <v>71</v>
      </c>
      <c r="C43" s="37">
        <f>SUM(C4:C42)</f>
        <v>19</v>
      </c>
      <c r="D43" s="37"/>
      <c r="E43" s="38"/>
    </row>
  </sheetData>
  <mergeCells count="11">
    <mergeCell ref="B2:E2"/>
    <mergeCell ref="B32:B33"/>
    <mergeCell ref="B36:B37"/>
    <mergeCell ref="G12:H12"/>
    <mergeCell ref="G13:H13"/>
    <mergeCell ref="G14:H14"/>
    <mergeCell ref="G3:I3"/>
    <mergeCell ref="B13:B14"/>
    <mergeCell ref="B15:B16"/>
    <mergeCell ref="B18:B19"/>
    <mergeCell ref="B24:B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7027-89CF-4971-B92D-903133457D09}">
  <dimension ref="B1:M11"/>
  <sheetViews>
    <sheetView topLeftCell="A7" workbookViewId="0">
      <selection activeCell="L8" sqref="L8"/>
    </sheetView>
  </sheetViews>
  <sheetFormatPr defaultRowHeight="15" x14ac:dyDescent="0.25"/>
  <cols>
    <col min="2" max="2" width="6.85546875" style="9" bestFit="1" customWidth="1"/>
    <col min="3" max="3" width="8.7109375" bestFit="1" customWidth="1"/>
    <col min="4" max="4" width="13.85546875" bestFit="1" customWidth="1"/>
    <col min="5" max="5" width="9" customWidth="1"/>
    <col min="6" max="6" width="13.85546875" bestFit="1" customWidth="1"/>
    <col min="7" max="7" width="8.7109375" bestFit="1" customWidth="1"/>
    <col min="8" max="8" width="13.85546875" bestFit="1" customWidth="1"/>
  </cols>
  <sheetData>
    <row r="1" spans="2:13" ht="15.75" thickBot="1" x14ac:dyDescent="0.3">
      <c r="B1" s="383" t="s">
        <v>143</v>
      </c>
      <c r="C1" s="385"/>
      <c r="D1" s="385"/>
      <c r="E1" s="385"/>
      <c r="F1" s="385"/>
      <c r="G1" s="385"/>
      <c r="H1" s="384"/>
    </row>
    <row r="2" spans="2:13" ht="15.75" thickBot="1" x14ac:dyDescent="0.3">
      <c r="B2" s="386" t="s">
        <v>7</v>
      </c>
      <c r="C2" s="383" t="s">
        <v>129</v>
      </c>
      <c r="D2" s="384"/>
      <c r="E2" s="383" t="s">
        <v>130</v>
      </c>
      <c r="F2" s="384"/>
      <c r="G2" s="383" t="s">
        <v>131</v>
      </c>
      <c r="H2" s="384"/>
    </row>
    <row r="3" spans="2:13" ht="15.75" thickBot="1" x14ac:dyDescent="0.3">
      <c r="B3" s="387"/>
      <c r="C3" s="71" t="s">
        <v>1</v>
      </c>
      <c r="D3" s="73" t="s">
        <v>144</v>
      </c>
      <c r="E3" s="244" t="s">
        <v>1</v>
      </c>
      <c r="F3" s="245" t="s">
        <v>144</v>
      </c>
      <c r="G3" s="262" t="s">
        <v>1</v>
      </c>
      <c r="H3" s="263" t="s">
        <v>144</v>
      </c>
      <c r="J3" s="381" t="s">
        <v>1</v>
      </c>
      <c r="K3" s="381"/>
      <c r="L3" s="259">
        <v>14</v>
      </c>
      <c r="M3" s="260">
        <f>L3/L5</f>
        <v>0.58333333333333337</v>
      </c>
    </row>
    <row r="4" spans="2:13" x14ac:dyDescent="0.25">
      <c r="B4" s="240" t="s">
        <v>8</v>
      </c>
      <c r="C4" s="252">
        <f>Controle!H9</f>
        <v>112.89999999999999</v>
      </c>
      <c r="D4" s="253">
        <f>Experimental!H9</f>
        <v>112.15</v>
      </c>
      <c r="E4" s="257">
        <f>Controle!P9</f>
        <v>81.25</v>
      </c>
      <c r="F4" s="264">
        <f>Experimental!P9</f>
        <v>84.501249999999999</v>
      </c>
      <c r="G4" s="268">
        <f>Controle!X9</f>
        <v>76.099999999999994</v>
      </c>
      <c r="H4" s="248">
        <f>Experimental!X9</f>
        <v>76.95</v>
      </c>
      <c r="J4" s="381" t="s">
        <v>144</v>
      </c>
      <c r="K4" s="381"/>
      <c r="L4" s="259">
        <v>10</v>
      </c>
      <c r="M4" s="260">
        <f>L4/L5</f>
        <v>0.41666666666666669</v>
      </c>
    </row>
    <row r="5" spans="2:13" x14ac:dyDescent="0.25">
      <c r="B5" s="241" t="s">
        <v>9</v>
      </c>
      <c r="C5" s="246">
        <f>Controle!H14</f>
        <v>152.60000000000002</v>
      </c>
      <c r="D5" s="254">
        <f>Experimental!H14</f>
        <v>147.875</v>
      </c>
      <c r="E5" s="249">
        <f>Controle!P14</f>
        <v>122</v>
      </c>
      <c r="F5" s="265">
        <f>Experimental!P14</f>
        <v>102.97749999999999</v>
      </c>
      <c r="G5" s="246">
        <f>Controle!X14</f>
        <v>97.699999999999989</v>
      </c>
      <c r="H5" s="254">
        <f>Experimental!X14</f>
        <v>92.28</v>
      </c>
      <c r="J5" s="382" t="s">
        <v>71</v>
      </c>
      <c r="K5" s="382"/>
      <c r="L5" s="259">
        <f>SUM(L3:L4)</f>
        <v>24</v>
      </c>
      <c r="M5" s="261">
        <f>SUM(M3:M4)</f>
        <v>1</v>
      </c>
    </row>
    <row r="6" spans="2:13" x14ac:dyDescent="0.25">
      <c r="B6" s="242" t="s">
        <v>10</v>
      </c>
      <c r="C6" s="255">
        <f>Controle!H19</f>
        <v>101.55</v>
      </c>
      <c r="D6" s="247">
        <f>Experimental!H19</f>
        <v>112.17500000000001</v>
      </c>
      <c r="E6" s="258">
        <f>Controle!P19</f>
        <v>84.25</v>
      </c>
      <c r="F6" s="266">
        <f>Experimental!P19</f>
        <v>84.500000000000014</v>
      </c>
      <c r="G6" s="246">
        <f>Controle!X19</f>
        <v>81.400000000000006</v>
      </c>
      <c r="H6" s="254">
        <f>Experimental!X19</f>
        <v>76.849999999999994</v>
      </c>
    </row>
    <row r="7" spans="2:13" x14ac:dyDescent="0.25">
      <c r="B7" s="242" t="s">
        <v>11</v>
      </c>
      <c r="C7" s="255">
        <f>Controle!H24</f>
        <v>142.4</v>
      </c>
      <c r="D7" s="247">
        <f>Experimental!H24</f>
        <v>147.875</v>
      </c>
      <c r="E7" s="258">
        <f>Controle!P24</f>
        <v>82.15</v>
      </c>
      <c r="F7" s="266">
        <f>Experimental!P24</f>
        <v>102.91249999999999</v>
      </c>
      <c r="G7" s="255">
        <f>Controle!X24</f>
        <v>87.25</v>
      </c>
      <c r="H7" s="247">
        <f>Experimental!X24</f>
        <v>92.2</v>
      </c>
    </row>
    <row r="8" spans="2:13" x14ac:dyDescent="0.25">
      <c r="B8" s="242" t="s">
        <v>12</v>
      </c>
      <c r="C8" s="246">
        <f>Controle!H29</f>
        <v>122.25</v>
      </c>
      <c r="D8" s="254">
        <f>Experimental!H29</f>
        <v>117.45</v>
      </c>
      <c r="E8" s="249">
        <f>Controle!P29</f>
        <v>88.100000000000009</v>
      </c>
      <c r="F8" s="265">
        <f>Experimental!P29</f>
        <v>86.2</v>
      </c>
      <c r="G8" s="255">
        <f>Controle!X29</f>
        <v>73.45</v>
      </c>
      <c r="H8" s="247">
        <f>Experimental!X29</f>
        <v>75.25</v>
      </c>
    </row>
    <row r="9" spans="2:13" x14ac:dyDescent="0.25">
      <c r="B9" s="242" t="s">
        <v>13</v>
      </c>
      <c r="C9" s="255">
        <f>Controle!H34</f>
        <v>132.55000000000001</v>
      </c>
      <c r="D9" s="247">
        <f>Experimental!H34</f>
        <v>148.35</v>
      </c>
      <c r="E9" s="258">
        <f>Controle!P34</f>
        <v>102.3</v>
      </c>
      <c r="F9" s="266">
        <f>Experimental!P34</f>
        <v>104.3</v>
      </c>
      <c r="G9" s="255">
        <f>Controle!X34</f>
        <v>89</v>
      </c>
      <c r="H9" s="247">
        <f>Experimental!X34</f>
        <v>92.275000000000006</v>
      </c>
    </row>
    <row r="10" spans="2:13" x14ac:dyDescent="0.25">
      <c r="B10" s="242" t="s">
        <v>14</v>
      </c>
      <c r="C10" s="255">
        <f>Controle!H39</f>
        <v>112.10000000000001</v>
      </c>
      <c r="D10" s="247">
        <f>Experimental!H39</f>
        <v>138.02500000000001</v>
      </c>
      <c r="E10" s="258">
        <f>Controle!P39</f>
        <v>84.55</v>
      </c>
      <c r="F10" s="266">
        <f>Experimental!P39</f>
        <v>95.575000000000003</v>
      </c>
      <c r="G10" s="255">
        <f>Controle!X39</f>
        <v>76.849999999999994</v>
      </c>
      <c r="H10" s="247">
        <f>Experimental!X39</f>
        <v>86.149999999999991</v>
      </c>
    </row>
    <row r="11" spans="2:13" ht="15.75" thickBot="1" x14ac:dyDescent="0.3">
      <c r="B11" s="243" t="s">
        <v>15</v>
      </c>
      <c r="C11" s="250">
        <f>Controle!H44</f>
        <v>163.95</v>
      </c>
      <c r="D11" s="256">
        <f>Experimental!H44</f>
        <v>138.02500000000001</v>
      </c>
      <c r="E11" s="251">
        <f>Controle!P44</f>
        <v>106.45000000000002</v>
      </c>
      <c r="F11" s="267">
        <f>Experimental!P44</f>
        <v>95.827500000000015</v>
      </c>
      <c r="G11" s="250">
        <f>Controle!X44</f>
        <v>95.149999999999991</v>
      </c>
      <c r="H11" s="256">
        <f>Experimental!X44</f>
        <v>86</v>
      </c>
    </row>
  </sheetData>
  <mergeCells count="8">
    <mergeCell ref="B1:H1"/>
    <mergeCell ref="B2:B3"/>
    <mergeCell ref="J3:K3"/>
    <mergeCell ref="J4:K4"/>
    <mergeCell ref="J5:K5"/>
    <mergeCell ref="C2:D2"/>
    <mergeCell ref="E2:F2"/>
    <mergeCell ref="G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DE63D-B696-4E3B-8D00-E95BC43F954D}">
  <dimension ref="B1:M11"/>
  <sheetViews>
    <sheetView topLeftCell="A4" workbookViewId="0">
      <selection activeCell="L9" sqref="L9"/>
    </sheetView>
  </sheetViews>
  <sheetFormatPr defaultRowHeight="15" x14ac:dyDescent="0.25"/>
  <cols>
    <col min="2" max="2" width="6.85546875" style="9" bestFit="1" customWidth="1"/>
    <col min="3" max="3" width="8.7109375" bestFit="1" customWidth="1"/>
    <col min="4" max="4" width="13.85546875" bestFit="1" customWidth="1"/>
    <col min="5" max="5" width="9" customWidth="1"/>
    <col min="6" max="6" width="13.85546875" bestFit="1" customWidth="1"/>
    <col min="7" max="7" width="8.7109375" bestFit="1" customWidth="1"/>
    <col min="8" max="8" width="13.85546875" bestFit="1" customWidth="1"/>
  </cols>
  <sheetData>
    <row r="1" spans="2:13" ht="15.75" thickBot="1" x14ac:dyDescent="0.3">
      <c r="B1" s="383" t="s">
        <v>145</v>
      </c>
      <c r="C1" s="385"/>
      <c r="D1" s="385"/>
      <c r="E1" s="385"/>
      <c r="F1" s="385"/>
      <c r="G1" s="385"/>
      <c r="H1" s="384"/>
    </row>
    <row r="2" spans="2:13" ht="15.75" thickBot="1" x14ac:dyDescent="0.3">
      <c r="B2" s="386" t="s">
        <v>7</v>
      </c>
      <c r="C2" s="383" t="s">
        <v>129</v>
      </c>
      <c r="D2" s="384"/>
      <c r="E2" s="383" t="s">
        <v>130</v>
      </c>
      <c r="F2" s="384"/>
      <c r="G2" s="383" t="s">
        <v>131</v>
      </c>
      <c r="H2" s="384"/>
    </row>
    <row r="3" spans="2:13" ht="15.75" thickBot="1" x14ac:dyDescent="0.3">
      <c r="B3" s="387"/>
      <c r="C3" s="71" t="s">
        <v>1</v>
      </c>
      <c r="D3" s="73" t="s">
        <v>144</v>
      </c>
      <c r="E3" s="244" t="s">
        <v>1</v>
      </c>
      <c r="F3" s="245" t="s">
        <v>144</v>
      </c>
      <c r="G3" s="262" t="s">
        <v>1</v>
      </c>
      <c r="H3" s="263" t="s">
        <v>144</v>
      </c>
      <c r="J3" s="381" t="s">
        <v>1</v>
      </c>
      <c r="K3" s="381"/>
      <c r="L3" s="259">
        <v>3</v>
      </c>
      <c r="M3" s="260">
        <f>L3/L5</f>
        <v>0.125</v>
      </c>
    </row>
    <row r="4" spans="2:13" x14ac:dyDescent="0.25">
      <c r="B4" s="240" t="s">
        <v>8</v>
      </c>
      <c r="C4" s="269">
        <f>Controle!I9</f>
        <v>98.75</v>
      </c>
      <c r="D4" s="270">
        <f>Experimental!I9</f>
        <v>47</v>
      </c>
      <c r="E4" s="271">
        <f>Controle!Q9</f>
        <v>15.5</v>
      </c>
      <c r="F4" s="272">
        <f>Experimental!Q9</f>
        <v>9.25</v>
      </c>
      <c r="G4" s="273">
        <f>Controle!Y9</f>
        <v>19.5</v>
      </c>
      <c r="H4" s="274">
        <f>Experimental!Y9</f>
        <v>5.25</v>
      </c>
      <c r="J4" s="381" t="s">
        <v>144</v>
      </c>
      <c r="K4" s="381"/>
      <c r="L4" s="259">
        <v>21</v>
      </c>
      <c r="M4" s="260">
        <f>L4/L5</f>
        <v>0.875</v>
      </c>
    </row>
    <row r="5" spans="2:13" x14ac:dyDescent="0.25">
      <c r="B5" s="241" t="s">
        <v>9</v>
      </c>
      <c r="C5" s="275">
        <f>Controle!I14</f>
        <v>119.25</v>
      </c>
      <c r="D5" s="276">
        <f>Experimental!I14</f>
        <v>42.562500000000007</v>
      </c>
      <c r="E5" s="277">
        <f>Controle!Q14</f>
        <v>64</v>
      </c>
      <c r="F5" s="278">
        <f>Experimental!Q14</f>
        <v>9.6750000000000043</v>
      </c>
      <c r="G5" s="275">
        <f>Controle!Y14</f>
        <v>50</v>
      </c>
      <c r="H5" s="276">
        <f>Experimental!Y14</f>
        <v>9.2500000000000036</v>
      </c>
      <c r="J5" s="382" t="s">
        <v>71</v>
      </c>
      <c r="K5" s="382"/>
      <c r="L5" s="259">
        <f>SUM(L3:L4)</f>
        <v>24</v>
      </c>
      <c r="M5" s="261">
        <f>SUM(M3:M4)</f>
        <v>1</v>
      </c>
    </row>
    <row r="6" spans="2:13" x14ac:dyDescent="0.25">
      <c r="B6" s="242" t="s">
        <v>10</v>
      </c>
      <c r="C6" s="275">
        <f>Controle!I19</f>
        <v>50</v>
      </c>
      <c r="D6" s="276">
        <f>Experimental!I19</f>
        <v>94</v>
      </c>
      <c r="E6" s="277">
        <f>Controle!Q19</f>
        <v>26.75</v>
      </c>
      <c r="F6" s="278">
        <f>Experimental!Q19</f>
        <v>19.25</v>
      </c>
      <c r="G6" s="275">
        <f>Controle!Y19</f>
        <v>14</v>
      </c>
      <c r="H6" s="276">
        <f>Experimental!Y19</f>
        <v>9.75</v>
      </c>
    </row>
    <row r="7" spans="2:13" x14ac:dyDescent="0.25">
      <c r="B7" s="242" t="s">
        <v>11</v>
      </c>
      <c r="C7" s="275">
        <f>Controle!I24</f>
        <v>111</v>
      </c>
      <c r="D7" s="276">
        <f>Experimental!I24</f>
        <v>85.125</v>
      </c>
      <c r="E7" s="277">
        <f>Controle!Q24</f>
        <v>20.5</v>
      </c>
      <c r="F7" s="278">
        <f>Experimental!Q24</f>
        <v>18.8125</v>
      </c>
      <c r="G7" s="275">
        <f>Controle!Y24</f>
        <v>15</v>
      </c>
      <c r="H7" s="276">
        <f>Experimental!Y24</f>
        <v>17.9375</v>
      </c>
    </row>
    <row r="8" spans="2:13" x14ac:dyDescent="0.25">
      <c r="B8" s="242" t="s">
        <v>12</v>
      </c>
      <c r="C8" s="275">
        <f>Controle!I29</f>
        <v>146.75</v>
      </c>
      <c r="D8" s="276">
        <f>Experimental!I29</f>
        <v>118.625</v>
      </c>
      <c r="E8" s="277">
        <f>Controle!Q29</f>
        <v>43.25</v>
      </c>
      <c r="F8" s="278">
        <f>Experimental!Q29</f>
        <v>27.75</v>
      </c>
      <c r="G8" s="275">
        <f>Controle!Y29</f>
        <v>14.5</v>
      </c>
      <c r="H8" s="276">
        <f>Experimental!Y29</f>
        <v>11.75</v>
      </c>
    </row>
    <row r="9" spans="2:13" x14ac:dyDescent="0.25">
      <c r="B9" s="242" t="s">
        <v>13</v>
      </c>
      <c r="C9" s="275">
        <f>Controle!I34</f>
        <v>77.25</v>
      </c>
      <c r="D9" s="276">
        <f>Experimental!I34</f>
        <v>76.375</v>
      </c>
      <c r="E9" s="277">
        <f>Controle!Q34</f>
        <v>37.25</v>
      </c>
      <c r="F9" s="278">
        <f>Experimental!Q34</f>
        <v>19.875</v>
      </c>
      <c r="G9" s="275">
        <f>Controle!Y34</f>
        <v>25.75</v>
      </c>
      <c r="H9" s="276">
        <f>Experimental!Y34</f>
        <v>16.375</v>
      </c>
    </row>
    <row r="10" spans="2:13" x14ac:dyDescent="0.25">
      <c r="B10" s="242" t="s">
        <v>14</v>
      </c>
      <c r="C10" s="275">
        <f>Controle!I39</f>
        <v>94</v>
      </c>
      <c r="D10" s="276">
        <f>Experimental!I39</f>
        <v>87.75</v>
      </c>
      <c r="E10" s="277">
        <f>Controle!Q39</f>
        <v>19.25</v>
      </c>
      <c r="F10" s="278">
        <f>Experimental!Q39</f>
        <v>16.125</v>
      </c>
      <c r="G10" s="275">
        <f>Controle!Y39</f>
        <v>9.75</v>
      </c>
      <c r="H10" s="276">
        <f>Experimental!Y39</f>
        <v>10.5</v>
      </c>
    </row>
    <row r="11" spans="2:13" ht="15.75" thickBot="1" x14ac:dyDescent="0.3">
      <c r="B11" s="243" t="s">
        <v>15</v>
      </c>
      <c r="C11" s="279">
        <f>Controle!I44</f>
        <v>83.25</v>
      </c>
      <c r="D11" s="280">
        <f>Experimental!I44</f>
        <v>43.874999999999993</v>
      </c>
      <c r="E11" s="281">
        <f>Controle!Q44</f>
        <v>21.5</v>
      </c>
      <c r="F11" s="282">
        <f>Experimental!Q44</f>
        <v>9.1375000000000028</v>
      </c>
      <c r="G11" s="279">
        <f>Controle!Y44</f>
        <v>16.5</v>
      </c>
      <c r="H11" s="280">
        <f>Experimental!Y44</f>
        <v>5.75</v>
      </c>
    </row>
  </sheetData>
  <mergeCells count="8">
    <mergeCell ref="J4:K4"/>
    <mergeCell ref="J5:K5"/>
    <mergeCell ref="B1:H1"/>
    <mergeCell ref="B2:B3"/>
    <mergeCell ref="C2:D2"/>
    <mergeCell ref="E2:F2"/>
    <mergeCell ref="G2:H2"/>
    <mergeCell ref="J3:K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7B48-ABDB-467F-95C2-BC620461880B}">
  <dimension ref="B1:M11"/>
  <sheetViews>
    <sheetView workbookViewId="0">
      <selection activeCell="K10" sqref="K10"/>
    </sheetView>
  </sheetViews>
  <sheetFormatPr defaultRowHeight="15" x14ac:dyDescent="0.25"/>
  <cols>
    <col min="2" max="2" width="6.85546875" style="9" bestFit="1" customWidth="1"/>
    <col min="3" max="3" width="8.7109375" bestFit="1" customWidth="1"/>
    <col min="4" max="4" width="13.85546875" bestFit="1" customWidth="1"/>
    <col min="5" max="5" width="9" customWidth="1"/>
    <col min="6" max="6" width="13.85546875" bestFit="1" customWidth="1"/>
    <col min="7" max="7" width="8.7109375" bestFit="1" customWidth="1"/>
    <col min="8" max="8" width="13.85546875" bestFit="1" customWidth="1"/>
  </cols>
  <sheetData>
    <row r="1" spans="2:13" ht="15.75" thickBot="1" x14ac:dyDescent="0.3">
      <c r="B1" s="383" t="s">
        <v>145</v>
      </c>
      <c r="C1" s="385"/>
      <c r="D1" s="385"/>
      <c r="E1" s="385"/>
      <c r="F1" s="385"/>
      <c r="G1" s="385"/>
      <c r="H1" s="384"/>
    </row>
    <row r="2" spans="2:13" ht="15.75" thickBot="1" x14ac:dyDescent="0.3">
      <c r="B2" s="386" t="s">
        <v>7</v>
      </c>
      <c r="C2" s="383" t="s">
        <v>129</v>
      </c>
      <c r="D2" s="384"/>
      <c r="E2" s="383" t="s">
        <v>130</v>
      </c>
      <c r="F2" s="384"/>
      <c r="G2" s="383" t="s">
        <v>131</v>
      </c>
      <c r="H2" s="384"/>
    </row>
    <row r="3" spans="2:13" ht="15.75" thickBot="1" x14ac:dyDescent="0.3">
      <c r="B3" s="387"/>
      <c r="C3" s="71" t="s">
        <v>1</v>
      </c>
      <c r="D3" s="73" t="s">
        <v>144</v>
      </c>
      <c r="E3" s="244" t="s">
        <v>1</v>
      </c>
      <c r="F3" s="245" t="s">
        <v>144</v>
      </c>
      <c r="G3" s="262" t="s">
        <v>1</v>
      </c>
      <c r="H3" s="263" t="s">
        <v>144</v>
      </c>
      <c r="J3" s="381" t="s">
        <v>1</v>
      </c>
      <c r="K3" s="381"/>
      <c r="L3" s="259">
        <v>2</v>
      </c>
      <c r="M3" s="260">
        <f>L3/L5</f>
        <v>8.3333333333333329E-2</v>
      </c>
    </row>
    <row r="4" spans="2:13" x14ac:dyDescent="0.25">
      <c r="B4" s="240" t="s">
        <v>8</v>
      </c>
      <c r="C4" s="283">
        <f>Controle!J9</f>
        <v>8.1457154140208026</v>
      </c>
      <c r="D4" s="284">
        <f>Experimental!J9</f>
        <v>3.8998165147898325</v>
      </c>
      <c r="E4" s="285">
        <f>Controle!R9</f>
        <v>1.3097300089374551</v>
      </c>
      <c r="F4" s="286">
        <f>Experimental!R9</f>
        <v>0.75491505003747017</v>
      </c>
      <c r="G4" s="287">
        <f>Controle!Z9</f>
        <v>1.557867893197419</v>
      </c>
      <c r="H4" s="288">
        <f>Experimental!Z9</f>
        <v>0.41186763852508179</v>
      </c>
      <c r="J4" s="381" t="s">
        <v>144</v>
      </c>
      <c r="K4" s="381"/>
      <c r="L4" s="259">
        <v>22</v>
      </c>
      <c r="M4" s="260">
        <f>L4/L5</f>
        <v>0.91666666666666663</v>
      </c>
    </row>
    <row r="5" spans="2:13" x14ac:dyDescent="0.25">
      <c r="B5" s="241" t="s">
        <v>9</v>
      </c>
      <c r="C5" s="289">
        <f>Controle!J14</f>
        <v>10.086910576531178</v>
      </c>
      <c r="D5" s="290">
        <f>Experimental!J14</f>
        <v>3.3464852634792321</v>
      </c>
      <c r="E5" s="291">
        <f>Controle!R14</f>
        <v>5.1085186181465652</v>
      </c>
      <c r="F5" s="292">
        <f>Experimental!R14</f>
        <v>0.74406597132848984</v>
      </c>
      <c r="G5" s="289">
        <f>Controle!Z14</f>
        <v>4.3075153261439008</v>
      </c>
      <c r="H5" s="290">
        <f>Experimental!Z14</f>
        <v>0.7391866427360283</v>
      </c>
      <c r="J5" s="382" t="s">
        <v>71</v>
      </c>
      <c r="K5" s="382"/>
      <c r="L5" s="259">
        <f>SUM(L3:L4)</f>
        <v>24</v>
      </c>
      <c r="M5" s="261">
        <f>SUM(M3:M4)</f>
        <v>1</v>
      </c>
    </row>
    <row r="6" spans="2:13" x14ac:dyDescent="0.25">
      <c r="B6" s="242" t="s">
        <v>10</v>
      </c>
      <c r="C6" s="289">
        <f>Controle!J19</f>
        <v>4.1968810836593846</v>
      </c>
      <c r="D6" s="290">
        <f>Experimental!J19</f>
        <v>7.7970123386553665</v>
      </c>
      <c r="E6" s="291">
        <f>Controle!R19</f>
        <v>2.2309040991509996</v>
      </c>
      <c r="F6" s="292">
        <f>Experimental!R19</f>
        <v>1.5610634609964844</v>
      </c>
      <c r="G6" s="289">
        <f>Controle!Z19</f>
        <v>1.134471622304972</v>
      </c>
      <c r="H6" s="290">
        <f>Experimental!Z19</f>
        <v>0.80097635799071887</v>
      </c>
    </row>
    <row r="7" spans="2:13" x14ac:dyDescent="0.25">
      <c r="B7" s="242" t="s">
        <v>11</v>
      </c>
      <c r="C7" s="289">
        <f>Controle!J24</f>
        <v>8.7623457507979801</v>
      </c>
      <c r="D7" s="290">
        <f>Experimental!J24</f>
        <v>6.6929705269584616</v>
      </c>
      <c r="E7" s="291">
        <f>Controle!R24</f>
        <v>1.6584873249983083</v>
      </c>
      <c r="F7" s="292">
        <f>Experimental!R24</f>
        <v>1.4646667674492855</v>
      </c>
      <c r="G7" s="289">
        <f>Controle!Z24</f>
        <v>1.2892717183024152</v>
      </c>
      <c r="H7" s="290">
        <f>Experimental!Z24</f>
        <v>1.423113011661806</v>
      </c>
    </row>
    <row r="8" spans="2:13" x14ac:dyDescent="0.25">
      <c r="B8" s="242" t="s">
        <v>12</v>
      </c>
      <c r="C8" s="289">
        <f>Controle!J29</f>
        <v>12.295153397342158</v>
      </c>
      <c r="D8" s="290">
        <f>Experimental!J29</f>
        <v>9.9774927840175458</v>
      </c>
      <c r="E8" s="291">
        <f>Controle!R29</f>
        <v>3.4743610396814253</v>
      </c>
      <c r="F8" s="292">
        <f>Experimental!R29</f>
        <v>2.2547625590769464</v>
      </c>
      <c r="G8" s="289">
        <f>Controle!Z29</f>
        <v>1.2597007776431328</v>
      </c>
      <c r="H8" s="290">
        <f>Experimental!Z29</f>
        <v>0.98570956620278716</v>
      </c>
    </row>
    <row r="9" spans="2:13" x14ac:dyDescent="0.25">
      <c r="B9" s="242" t="s">
        <v>13</v>
      </c>
      <c r="C9" s="289">
        <f>Controle!J34</f>
        <v>6.0421789139873976</v>
      </c>
      <c r="D9" s="290">
        <f>Experimental!J34</f>
        <v>6.1666747128178239</v>
      </c>
      <c r="E9" s="291">
        <f>Controle!R34</f>
        <v>2.9481728168920802</v>
      </c>
      <c r="F9" s="292">
        <f>Experimental!R34</f>
        <v>1.6055967925335639</v>
      </c>
      <c r="G9" s="289">
        <f>Controle!Z34</f>
        <v>2.0302595112374537</v>
      </c>
      <c r="H9" s="290">
        <f>Experimental!Z34</f>
        <v>1.316118860421984</v>
      </c>
    </row>
    <row r="10" spans="2:13" x14ac:dyDescent="0.25">
      <c r="B10" s="242" t="s">
        <v>14</v>
      </c>
      <c r="C10" s="289">
        <f>Controle!J39</f>
        <v>7.8099877077264823</v>
      </c>
      <c r="D10" s="290">
        <f>Experimental!J39</f>
        <v>7.0807524453891659</v>
      </c>
      <c r="E10" s="291">
        <f>Controle!R39</f>
        <v>1.5595113597015138</v>
      </c>
      <c r="F10" s="292">
        <f>Experimental!R39</f>
        <v>1.2364727438097294</v>
      </c>
      <c r="G10" s="289">
        <f>Controle!Z39</f>
        <v>0.80097635799071887</v>
      </c>
      <c r="H10" s="290">
        <f>Experimental!Z39</f>
        <v>0.82827676279719697</v>
      </c>
    </row>
    <row r="11" spans="2:13" ht="15.75" thickBot="1" x14ac:dyDescent="0.3">
      <c r="B11" s="243" t="s">
        <v>15</v>
      </c>
      <c r="C11" s="293">
        <f>Controle!J44</f>
        <v>6.8206697228557642</v>
      </c>
      <c r="D11" s="294">
        <f>Experimental!J44</f>
        <v>3.540376222694583</v>
      </c>
      <c r="E11" s="295">
        <f>Controle!R44</f>
        <v>1.7958925160856125</v>
      </c>
      <c r="F11" s="296">
        <f>Experimental!R44</f>
        <v>0.72134597496546005</v>
      </c>
      <c r="G11" s="293">
        <f>Controle!Z44</f>
        <v>1.2622742124329611</v>
      </c>
      <c r="H11" s="294">
        <f>Experimental!Z44</f>
        <v>0.44294357528128075</v>
      </c>
    </row>
  </sheetData>
  <mergeCells count="8">
    <mergeCell ref="J4:K4"/>
    <mergeCell ref="J5:K5"/>
    <mergeCell ref="B1:H1"/>
    <mergeCell ref="B2:B3"/>
    <mergeCell ref="C2:D2"/>
    <mergeCell ref="E2:F2"/>
    <mergeCell ref="G2:H2"/>
    <mergeCell ref="J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E852-DB71-4B2C-9988-6DF34FEA2140}">
  <dimension ref="B1:D16"/>
  <sheetViews>
    <sheetView workbookViewId="0">
      <selection activeCell="R9" sqref="R9"/>
    </sheetView>
  </sheetViews>
  <sheetFormatPr defaultRowHeight="15" x14ac:dyDescent="0.25"/>
  <cols>
    <col min="4" max="4" width="13.85546875" bestFit="1" customWidth="1"/>
  </cols>
  <sheetData>
    <row r="1" spans="2:4" ht="15.75" thickBot="1" x14ac:dyDescent="0.3"/>
    <row r="2" spans="2:4" ht="15.75" thickBot="1" x14ac:dyDescent="0.3">
      <c r="B2" s="383" t="s">
        <v>146</v>
      </c>
      <c r="C2" s="385"/>
      <c r="D2" s="384"/>
    </row>
    <row r="3" spans="2:4" ht="15.75" thickBot="1" x14ac:dyDescent="0.3">
      <c r="B3" s="239" t="s">
        <v>7</v>
      </c>
      <c r="C3" s="71" t="s">
        <v>1</v>
      </c>
      <c r="D3" s="73" t="s">
        <v>144</v>
      </c>
    </row>
    <row r="4" spans="2:4" x14ac:dyDescent="0.25">
      <c r="B4" s="240" t="s">
        <v>8</v>
      </c>
      <c r="C4" s="269">
        <f>Controle!AC9</f>
        <v>12</v>
      </c>
      <c r="D4" s="270">
        <f>Experimental!AC9</f>
        <v>2</v>
      </c>
    </row>
    <row r="5" spans="2:4" x14ac:dyDescent="0.25">
      <c r="B5" s="241" t="s">
        <v>9</v>
      </c>
      <c r="C5" s="275">
        <f>Controle!AC14</f>
        <v>26</v>
      </c>
      <c r="D5" s="276">
        <f>Experimental!AC14</f>
        <v>6</v>
      </c>
    </row>
    <row r="6" spans="2:4" x14ac:dyDescent="0.25">
      <c r="B6" s="242" t="s">
        <v>10</v>
      </c>
      <c r="C6" s="275">
        <f>Controle!AC19</f>
        <v>17</v>
      </c>
      <c r="D6" s="276">
        <f>Experimental!AC19</f>
        <v>4</v>
      </c>
    </row>
    <row r="7" spans="2:4" x14ac:dyDescent="0.25">
      <c r="B7" s="242" t="s">
        <v>11</v>
      </c>
      <c r="C7" s="275">
        <f>Controle!AC24</f>
        <v>23</v>
      </c>
      <c r="D7" s="276">
        <f>Experimental!AC24</f>
        <v>9</v>
      </c>
    </row>
    <row r="8" spans="2:4" x14ac:dyDescent="0.25">
      <c r="B8" s="242" t="s">
        <v>12</v>
      </c>
      <c r="C8" s="275">
        <f>Controle!AC29</f>
        <v>17</v>
      </c>
      <c r="D8" s="276">
        <f>Experimental!AC29</f>
        <v>7</v>
      </c>
    </row>
    <row r="9" spans="2:4" x14ac:dyDescent="0.25">
      <c r="B9" s="242" t="s">
        <v>13</v>
      </c>
      <c r="C9" s="275">
        <f>Controle!AC34</f>
        <v>16</v>
      </c>
      <c r="D9" s="276">
        <f>Experimental!AC34</f>
        <v>8</v>
      </c>
    </row>
    <row r="10" spans="2:4" x14ac:dyDescent="0.25">
      <c r="B10" s="242" t="s">
        <v>14</v>
      </c>
      <c r="C10" s="275">
        <f>Controle!AC39</f>
        <v>14</v>
      </c>
      <c r="D10" s="276">
        <f>Experimental!AC39</f>
        <v>4</v>
      </c>
    </row>
    <row r="11" spans="2:4" ht="15.75" thickBot="1" x14ac:dyDescent="0.3">
      <c r="B11" s="243" t="s">
        <v>15</v>
      </c>
      <c r="C11" s="279">
        <f>Controle!AC44</f>
        <v>23</v>
      </c>
      <c r="D11" s="280">
        <f>Experimental!AC44</f>
        <v>3</v>
      </c>
    </row>
    <row r="12" spans="2:4" ht="15.75" thickBot="1" x14ac:dyDescent="0.3">
      <c r="B12" s="243" t="s">
        <v>71</v>
      </c>
      <c r="C12" s="297">
        <f>SUM(C4:C11)</f>
        <v>148</v>
      </c>
      <c r="D12" s="298">
        <f>SUM(D4:D11)</f>
        <v>43</v>
      </c>
    </row>
    <row r="13" spans="2:4" x14ac:dyDescent="0.25">
      <c r="B13">
        <v>480</v>
      </c>
      <c r="C13" s="299">
        <f>C12/B13</f>
        <v>0.30833333333333335</v>
      </c>
      <c r="D13" s="299">
        <f>D12/B13</f>
        <v>8.9583333333333334E-2</v>
      </c>
    </row>
    <row r="14" spans="2:4" x14ac:dyDescent="0.25">
      <c r="C14" s="299"/>
    </row>
    <row r="16" spans="2:4" x14ac:dyDescent="0.25">
      <c r="C16" t="s">
        <v>147</v>
      </c>
    </row>
  </sheetData>
  <mergeCells count="1">
    <mergeCell ref="B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Controle</vt:lpstr>
      <vt:lpstr>Def. Controle</vt:lpstr>
      <vt:lpstr>Experimental</vt:lpstr>
      <vt:lpstr>Def. Experimental</vt:lpstr>
      <vt:lpstr>Comp. Tempos</vt:lpstr>
      <vt:lpstr>Comp. Amplitude</vt:lpstr>
      <vt:lpstr>Comp. Desvio Padrão</vt:lpstr>
      <vt:lpstr>Falhas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Lopes</dc:creator>
  <cp:lastModifiedBy>Pablo Lopes</cp:lastModifiedBy>
  <cp:lastPrinted>2020-08-26T14:39:11Z</cp:lastPrinted>
  <dcterms:created xsi:type="dcterms:W3CDTF">2020-06-20T22:37:33Z</dcterms:created>
  <dcterms:modified xsi:type="dcterms:W3CDTF">2020-09-17T22:03:56Z</dcterms:modified>
</cp:coreProperties>
</file>